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hidePivotFieldList="1"/>
  <xr:revisionPtr revIDLastSave="0" documentId="13_ncr:1_{9E1951E2-7B36-4FE6-A2FB-2701784B35CB}" xr6:coauthVersionLast="47" xr6:coauthVersionMax="47" xr10:uidLastSave="{00000000-0000-0000-0000-000000000000}"/>
  <bookViews>
    <workbookView xWindow="28680" yWindow="-120" windowWidth="29040" windowHeight="15720" tabRatio="873" xr2:uid="{00000000-000D-0000-FFFF-FFFF00000000}"/>
  </bookViews>
  <sheets>
    <sheet name="BASE BID" sheetId="26" r:id="rId1"/>
    <sheet name="BID ALT." sheetId="33" r:id="rId2"/>
    <sheet name="Dashboard" sheetId="30" r:id="rId3"/>
    <sheet name="Data for Dashboard" sheetId="31" state="hidden" r:id="rId4"/>
    <sheet name="COST SUMMARY" sheetId="12" r:id="rId5"/>
    <sheet name="HOURLY RATES" sheetId="22" r:id="rId6"/>
    <sheet name="Data for Rough Cost" sheetId="32" state="hidden" r:id="rId7"/>
  </sheets>
  <definedNames>
    <definedName name="_xlnm._FilterDatabase" localSheetId="0" hidden="1">'BASE BID'!$J$1:$J$157</definedName>
    <definedName name="_xlnm._FilterDatabase" localSheetId="1" hidden="1">'BID ALT.'!$J$1:$J$142</definedName>
    <definedName name="_xlnm._FilterDatabase" localSheetId="4" hidden="1">'COST SUMMARY'!#REF!</definedName>
    <definedName name="_xlnm._FilterDatabase" localSheetId="5" hidden="1">'HOURLY RATES'!$B$8:$D$104</definedName>
    <definedName name="Average">'Data for Rough Cost'!$D$111:$D$122</definedName>
    <definedName name="Average1">'Data for Rough Cost'!$DK$2:$DK$5</definedName>
    <definedName name="Average10">'Data for Rough Cost'!$DT$2:$DT$5</definedName>
    <definedName name="Average11">'Data for Rough Cost'!$DU$2:$DU$3</definedName>
    <definedName name="Average12">'Data for Rough Cost'!$DV$2:$DV$3</definedName>
    <definedName name="Average2">'Data for Rough Cost'!$DL$2:$DL$5</definedName>
    <definedName name="Average3">'Data for Rough Cost'!$DM$2:$DM$5</definedName>
    <definedName name="Average4">'Data for Rough Cost'!$DN$2:$DN$5</definedName>
    <definedName name="Average5">'Data for Rough Cost'!$DO$2:$DO$5</definedName>
    <definedName name="Average6">'Data for Rough Cost'!$DP$2:$DP$5</definedName>
    <definedName name="Average7">'Data for Rough Cost'!$DQ$2:$DQ$5</definedName>
    <definedName name="Average8">'Data for Rough Cost'!$DR$2:$DR$5</definedName>
    <definedName name="Average9">'Data for Rough Cost'!$DS$2:$DS$5</definedName>
    <definedName name="Categories">'Data for Rough Cost'!$A$2:$A$3</definedName>
    <definedName name="Commercial">'Data for Rough Cost'!$B$2</definedName>
    <definedName name="Custom">'Data for Rough Cost'!$D$123:$D$132</definedName>
    <definedName name="Custom1">'Data for Rough Cost'!$DW$2:$DW$5</definedName>
    <definedName name="Custom10">'Data for Rough Cost'!$EF$2:$EF$5</definedName>
    <definedName name="Custom2">'Data for Rough Cost'!$DX$2:$DX$5</definedName>
    <definedName name="Custom3">'Data for Rough Cost'!$DY$2:$DY$5</definedName>
    <definedName name="Custom4">'Data for Rough Cost'!$DZ$2:$DZ$5</definedName>
    <definedName name="Custom5">'Data for Rough Cost'!$EA$2:$EA$5</definedName>
    <definedName name="Custom6">'Data for Rough Cost'!$EB$2:$EB$5</definedName>
    <definedName name="Custom7">'Data for Rough Cost'!$EC$2:$EC$5</definedName>
    <definedName name="Custom8">'Data for Rough Cost'!$ED$2:$ED$5</definedName>
    <definedName name="Custom9">'Data for Rough Cost'!$EE$2:$EE$5</definedName>
    <definedName name="Default">'Data for Rough Cost'!$D$2:$D$102</definedName>
    <definedName name="Default1">'Data for Rough Cost'!$F$2:$F$7</definedName>
    <definedName name="Default10">'Data for Rough Cost'!$O$2:$O$7</definedName>
    <definedName name="Default100">'Data for Rough Cost'!$DA$2:$DA$7</definedName>
    <definedName name="Default101">'Data for Rough Cost'!$DB$2:$DB$7</definedName>
    <definedName name="Default11">'Data for Rough Cost'!$P$2:$P$7</definedName>
    <definedName name="Default12">'Data for Rough Cost'!$Q$2:$Q$7</definedName>
    <definedName name="Default13">'Data for Rough Cost'!$R$2:$R$7</definedName>
    <definedName name="Default14">'Data for Rough Cost'!$S$2:$S$7</definedName>
    <definedName name="Default15">'Data for Rough Cost'!$T$2:$T$7</definedName>
    <definedName name="Default16">'Data for Rough Cost'!$U$2:$U$7</definedName>
    <definedName name="Default17">'Data for Rough Cost'!$V$2:$V$7</definedName>
    <definedName name="Default18">'Data for Rough Cost'!$W$2:$W$7</definedName>
    <definedName name="Default19">'Data for Rough Cost'!$X$2:$X$7</definedName>
    <definedName name="Default2">'Data for Rough Cost'!$G$2:$G$7</definedName>
    <definedName name="Default20">'Data for Rough Cost'!$Y$2:$Y$7</definedName>
    <definedName name="Default21">'Data for Rough Cost'!$Z$2:$Z$7</definedName>
    <definedName name="Default22">'Data for Rough Cost'!$AA$2:$AA$7</definedName>
    <definedName name="Default23">'Data for Rough Cost'!$AB$2:$AB$7</definedName>
    <definedName name="Default24">'Data for Rough Cost'!$AC$2:$AC$7</definedName>
    <definedName name="Default25">'Data for Rough Cost'!$AD$2:$AD$7</definedName>
    <definedName name="Default26">'Data for Rough Cost'!$AE$2:$AE$7</definedName>
    <definedName name="Default27">'Data for Rough Cost'!$AF$2:$AF$7</definedName>
    <definedName name="Default28">'Data for Rough Cost'!$AG$2:$AG$7</definedName>
    <definedName name="Default29">'Data for Rough Cost'!$AH$2:$AH$7</definedName>
    <definedName name="Default3">'Data for Rough Cost'!$H$2:$H$7</definedName>
    <definedName name="Default30">'Data for Rough Cost'!$AI$2:$AI$7</definedName>
    <definedName name="Default31">'Data for Rough Cost'!$AJ$2:$AJ$7</definedName>
    <definedName name="Default32">'Data for Rough Cost'!$AK$2:$AK$7</definedName>
    <definedName name="Default33">'Data for Rough Cost'!$AL$2:$AL$7</definedName>
    <definedName name="Default34">'Data for Rough Cost'!$AM$2:$AM$7</definedName>
    <definedName name="Default35">'Data for Rough Cost'!$AN$2:$AN$7</definedName>
    <definedName name="Default36">'Data for Rough Cost'!$AO$2:$AO$7</definedName>
    <definedName name="Default37">'Data for Rough Cost'!$AP$2:$AP$7</definedName>
    <definedName name="Default38">'Data for Rough Cost'!$AQ$2:$AQ$7</definedName>
    <definedName name="Default39">'Data for Rough Cost'!$AR$2:$AR$7</definedName>
    <definedName name="Default4">'Data for Rough Cost'!$I$2:$I$7</definedName>
    <definedName name="Default40">'Data for Rough Cost'!$AS$2:$AS$7</definedName>
    <definedName name="Default41">'Data for Rough Cost'!$AT$2:$AT$7</definedName>
    <definedName name="Default42">'Data for Rough Cost'!$AU$2:$AU$7</definedName>
    <definedName name="Default43">'Data for Rough Cost'!$AV$2:$AV$7</definedName>
    <definedName name="Default44">'Data for Rough Cost'!$AW$2:$AW$7</definedName>
    <definedName name="Default45">'Data for Rough Cost'!$AX$2:$AX$7</definedName>
    <definedName name="Default46">'Data for Rough Cost'!$AY$2:$AY$7</definedName>
    <definedName name="Default47">'Data for Rough Cost'!$AZ$2:$AZ$7</definedName>
    <definedName name="Default48">'Data for Rough Cost'!$BA$2:$BA$7</definedName>
    <definedName name="Default49">'Data for Rough Cost'!$BB$2:$BB$7</definedName>
    <definedName name="Default5">'Data for Rough Cost'!$J$2:$J$7</definedName>
    <definedName name="Default50">'Data for Rough Cost'!$BC$2:$BC$7</definedName>
    <definedName name="Default51">'Data for Rough Cost'!$BD$2:$BD$7</definedName>
    <definedName name="Default52">'Data for Rough Cost'!$BE$2:$BE$7</definedName>
    <definedName name="Default53">'Data for Rough Cost'!$BF$2:$BF$7</definedName>
    <definedName name="Default54">'Data for Rough Cost'!$BG$2:$BG$7</definedName>
    <definedName name="Default55">'Data for Rough Cost'!$BH$2:$BH$7</definedName>
    <definedName name="Default56">'Data for Rough Cost'!$BI$2:$BI$7</definedName>
    <definedName name="Default57">'Data for Rough Cost'!$BJ$2:$BJ$7</definedName>
    <definedName name="Default58">'Data for Rough Cost'!$BK$2:$BK$7</definedName>
    <definedName name="Default59">'Data for Rough Cost'!$BL$2:$BL$7</definedName>
    <definedName name="Default6">'Data for Rough Cost'!$K$2:$K$7</definedName>
    <definedName name="Default60">'Data for Rough Cost'!$BM$2:$BM$7</definedName>
    <definedName name="Default61">'Data for Rough Cost'!$BN$2:$BN$7</definedName>
    <definedName name="Default62">'Data for Rough Cost'!$BO$2:$BO$7</definedName>
    <definedName name="Default63">'Data for Rough Cost'!$BP$2:$BP$7</definedName>
    <definedName name="Default64">'Data for Rough Cost'!$BQ$2:$BQ$7</definedName>
    <definedName name="Default65">'Data for Rough Cost'!$BR$2:$BR$7</definedName>
    <definedName name="Default66">'Data for Rough Cost'!$BS$2:$BS$7</definedName>
    <definedName name="Default67">'Data for Rough Cost'!$BT$2:$BT$7</definedName>
    <definedName name="Default68">'Data for Rough Cost'!$BU$2:$BU$7</definedName>
    <definedName name="Default69">'Data for Rough Cost'!$BV$2:$BV$7</definedName>
    <definedName name="Default7">'Data for Rough Cost'!$L$2:$L$7</definedName>
    <definedName name="Default70">'Data for Rough Cost'!$BW$2:$BW$7</definedName>
    <definedName name="Default71">'Data for Rough Cost'!$BX$2:$BX$7</definedName>
    <definedName name="Default72">'Data for Rough Cost'!$BY$2:$BY$7</definedName>
    <definedName name="Default73">'Data for Rough Cost'!$BZ$2:$BZ$5</definedName>
    <definedName name="Default74">'Data for Rough Cost'!$CA$2:$CA$7</definedName>
    <definedName name="Default75">'Data for Rough Cost'!$CB$2:$CB$7</definedName>
    <definedName name="Default76">'Data for Rough Cost'!$CC$2:$CC$7</definedName>
    <definedName name="Default77">'Data for Rough Cost'!$CD$2</definedName>
    <definedName name="Default78">'Data for Rough Cost'!$CE$2</definedName>
    <definedName name="Default79">'Data for Rough Cost'!$CF$2:$CF$5</definedName>
    <definedName name="Default8">'Data for Rough Cost'!$M$2:$M$7</definedName>
    <definedName name="Default80">'Data for Rough Cost'!$CG$2:$CG$7</definedName>
    <definedName name="Default81">'Data for Rough Cost'!$CH$2:$CH$7</definedName>
    <definedName name="Default82">'Data for Rough Cost'!$CI$2:$CI$7</definedName>
    <definedName name="Default83">'Data for Rough Cost'!$CJ$2:$CJ$7</definedName>
    <definedName name="Default84">'Data for Rough Cost'!$CK$2:$CK$7</definedName>
    <definedName name="Default85">'Data for Rough Cost'!$CL$2:$CL$7</definedName>
    <definedName name="Default86">'Data for Rough Cost'!$CM$2:$CM$7</definedName>
    <definedName name="Default87">'Data for Rough Cost'!$CN$2:$CN$7</definedName>
    <definedName name="Default88">'Data for Rough Cost'!$CO$2:$CO$7</definedName>
    <definedName name="Default89">'Data for Rough Cost'!$CP$2:$CP$7</definedName>
    <definedName name="Default9">'Data for Rough Cost'!$N$2:$N$7</definedName>
    <definedName name="Default90">'Data for Rough Cost'!$CQ$2:$CQ$7</definedName>
    <definedName name="Default91">'Data for Rough Cost'!$CR$2:$CR$7</definedName>
    <definedName name="Default92">'Data for Rough Cost'!$CS$2:$CS$7</definedName>
    <definedName name="Default93">'Data for Rough Cost'!$CT$2:$CT$7</definedName>
    <definedName name="Default94">'Data for Rough Cost'!$CU$2:$CU$7</definedName>
    <definedName name="Default95">'Data for Rough Cost'!$CV$2:$CV$7</definedName>
    <definedName name="Default96">'Data for Rough Cost'!$CW$2:$CW$7</definedName>
    <definedName name="Default97">'Data for Rough Cost'!$CX$2:$CX$7</definedName>
    <definedName name="Default98">'Data for Rough Cost'!$CY$2:$CY$7</definedName>
    <definedName name="Default99">'Data for Rough Cost'!$CZ$2:$CZ$7</definedName>
    <definedName name="Economy">'Data for Rough Cost'!$D$103:$D$110</definedName>
    <definedName name="Economy1">'Data for Rough Cost'!$DC$2:$DC$5</definedName>
    <definedName name="Economy2">'Data for Rough Cost'!$DD$2:$DD$5</definedName>
    <definedName name="Economy3">'Data for Rough Cost'!$DE$2:$DE$5</definedName>
    <definedName name="Economy4">'Data for Rough Cost'!$DF$2:$DF$5</definedName>
    <definedName name="Economy5">'Data for Rough Cost'!$DG$2:$DG$5</definedName>
    <definedName name="Economy6">'Data for Rough Cost'!$DH$2:$DH$5</definedName>
    <definedName name="Economy7">'Data for Rough Cost'!$DI$2:$DI$5</definedName>
    <definedName name="Economy8">'Data for Rough Cost'!$DJ$2:$DJ$5</definedName>
    <definedName name="Luxury">'Data for Rough Cost'!$D$133:$D$142</definedName>
    <definedName name="Luxury1">'Data for Rough Cost'!$EG$2:$EG$5</definedName>
    <definedName name="Luxury10">'Data for Rough Cost'!$EP$2:$EP$5</definedName>
    <definedName name="Luxury2">'Data for Rough Cost'!$EH$2:$EH$5</definedName>
    <definedName name="Luxury3">'Data for Rough Cost'!$EI$2:$EI$5</definedName>
    <definedName name="Luxury4">'Data for Rough Cost'!$EJ$2:$EJ$5</definedName>
    <definedName name="Luxury5">'Data for Rough Cost'!$EK$2:$EK$5</definedName>
    <definedName name="Luxury6">'Data for Rough Cost'!$EL$2:$EL$5</definedName>
    <definedName name="Luxury7">'Data for Rough Cost'!$EM$2:$EM$5</definedName>
    <definedName name="Luxury8">'Data for Rough Cost'!$EN$2:$EN$5</definedName>
    <definedName name="Luxury9">'Data for Rough Cost'!$EO$2:$EO$5</definedName>
    <definedName name="_xlnm.Print_Area" localSheetId="0">'BASE BID'!$A$1:$R$121</definedName>
    <definedName name="_xlnm.Print_Area" localSheetId="1">'BID ALT.'!$A$1:$R$106</definedName>
    <definedName name="_xlnm.Print_Area" localSheetId="4">'COST SUMMARY'!$A$1:$R$49</definedName>
    <definedName name="_xlnm.Print_Titles" localSheetId="0">'BASE BID'!$17:$17</definedName>
    <definedName name="_xlnm.Print_Titles" localSheetId="1">'BID ALT.'!$17:$17</definedName>
    <definedName name="Residential">'Data for Rough Cost'!$C$2:$C$5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99" i="33" l="1"/>
  <c r="N99" i="33" s="1"/>
  <c r="L99" i="33"/>
  <c r="M93" i="33"/>
  <c r="L93" i="33"/>
  <c r="M84" i="33"/>
  <c r="N84" i="33" s="1"/>
  <c r="L84" i="33"/>
  <c r="M83" i="33"/>
  <c r="N83" i="33" s="1"/>
  <c r="L83" i="33"/>
  <c r="M82" i="33"/>
  <c r="N82" i="33" s="1"/>
  <c r="L82" i="33"/>
  <c r="M81" i="33"/>
  <c r="N81" i="33" s="1"/>
  <c r="L81" i="33"/>
  <c r="L85" i="33"/>
  <c r="M85" i="33"/>
  <c r="N85" i="33" s="1"/>
  <c r="M86" i="33"/>
  <c r="N86" i="33" s="1"/>
  <c r="L86" i="33"/>
  <c r="M77" i="33"/>
  <c r="N77" i="33" s="1"/>
  <c r="L77" i="33"/>
  <c r="M76" i="33"/>
  <c r="N76" i="33" s="1"/>
  <c r="L76" i="33"/>
  <c r="M75" i="33"/>
  <c r="N75" i="33" s="1"/>
  <c r="L75" i="33"/>
  <c r="M74" i="33"/>
  <c r="N74" i="33" s="1"/>
  <c r="L74" i="33"/>
  <c r="M73" i="33"/>
  <c r="N73" i="33" s="1"/>
  <c r="L73" i="33"/>
  <c r="M72" i="33"/>
  <c r="N72" i="33" s="1"/>
  <c r="L72" i="33"/>
  <c r="M103" i="26"/>
  <c r="N103" i="26" s="1"/>
  <c r="L103" i="26"/>
  <c r="M102" i="26"/>
  <c r="N102" i="26" s="1"/>
  <c r="L102" i="26"/>
  <c r="M99" i="26"/>
  <c r="N99" i="26" s="1"/>
  <c r="L99" i="26"/>
  <c r="M101" i="26"/>
  <c r="N101" i="26" s="1"/>
  <c r="L101" i="26"/>
  <c r="M100" i="26"/>
  <c r="N100" i="26" s="1"/>
  <c r="L100" i="26"/>
  <c r="M95" i="26"/>
  <c r="N95" i="26" s="1"/>
  <c r="L95" i="26"/>
  <c r="M91" i="26"/>
  <c r="N91" i="26" s="1"/>
  <c r="L91" i="26"/>
  <c r="M86" i="26"/>
  <c r="N86" i="26" s="1"/>
  <c r="L86" i="26"/>
  <c r="M85" i="26"/>
  <c r="N85" i="26" s="1"/>
  <c r="L85" i="26"/>
  <c r="M84" i="26"/>
  <c r="N84" i="26" s="1"/>
  <c r="L84" i="26"/>
  <c r="M83" i="26"/>
  <c r="N83" i="26" s="1"/>
  <c r="L83" i="26"/>
  <c r="M82" i="26"/>
  <c r="N82" i="26" s="1"/>
  <c r="L82" i="26"/>
  <c r="M98" i="26"/>
  <c r="N98" i="26" s="1"/>
  <c r="L98" i="26"/>
  <c r="M90" i="26"/>
  <c r="N90" i="26" s="1"/>
  <c r="L90" i="26"/>
  <c r="M81" i="26"/>
  <c r="N81" i="26" s="1"/>
  <c r="L81" i="26"/>
  <c r="N93" i="33" l="1"/>
  <c r="A46" i="33" l="1"/>
  <c r="A52" i="33"/>
  <c r="A53" i="33"/>
  <c r="A58" i="33"/>
  <c r="A59" i="33"/>
  <c r="A63" i="33"/>
  <c r="A64" i="33"/>
  <c r="A66" i="33"/>
  <c r="A67" i="33"/>
  <c r="A68" i="33"/>
  <c r="A69" i="33"/>
  <c r="A78" i="33"/>
  <c r="A87" i="33"/>
  <c r="A88" i="33"/>
  <c r="A91" i="33"/>
  <c r="A94" i="33"/>
  <c r="A95" i="33"/>
  <c r="A96" i="33"/>
  <c r="A97" i="33"/>
  <c r="A98" i="33"/>
  <c r="A62" i="26"/>
  <c r="A63" i="26"/>
  <c r="A64" i="26"/>
  <c r="A66" i="26"/>
  <c r="A67" i="26"/>
  <c r="A68" i="26"/>
  <c r="A69" i="26"/>
  <c r="A78" i="26"/>
  <c r="A87" i="26"/>
  <c r="A88" i="26"/>
  <c r="A96" i="26"/>
  <c r="A104" i="26"/>
  <c r="A105" i="26"/>
  <c r="A107" i="26"/>
  <c r="A108" i="26"/>
  <c r="A110" i="26"/>
  <c r="A111" i="26"/>
  <c r="A112" i="26"/>
  <c r="A113" i="26"/>
  <c r="D4" i="12"/>
  <c r="D6" i="12"/>
  <c r="D5" i="12"/>
  <c r="G93" i="33"/>
  <c r="M90" i="33"/>
  <c r="H90" i="33"/>
  <c r="G90" i="33"/>
  <c r="M105" i="33"/>
  <c r="M104" i="33"/>
  <c r="M103" i="33"/>
  <c r="M102" i="33"/>
  <c r="A100" i="33"/>
  <c r="H99" i="33"/>
  <c r="I99" i="33" s="1"/>
  <c r="P99" i="33" s="1"/>
  <c r="H93" i="33"/>
  <c r="H86" i="33"/>
  <c r="I86" i="33" s="1"/>
  <c r="H85" i="33"/>
  <c r="I85" i="33" s="1"/>
  <c r="H84" i="33"/>
  <c r="H83" i="33"/>
  <c r="G83" i="33"/>
  <c r="H82" i="33"/>
  <c r="G82" i="33"/>
  <c r="H81" i="33"/>
  <c r="G81" i="33"/>
  <c r="M80" i="33"/>
  <c r="H80" i="33"/>
  <c r="G80" i="33"/>
  <c r="H77" i="33"/>
  <c r="I77" i="33" s="1"/>
  <c r="H76" i="33"/>
  <c r="I76" i="33" s="1"/>
  <c r="P76" i="33" s="1"/>
  <c r="H75" i="33"/>
  <c r="H74" i="33"/>
  <c r="G74" i="33"/>
  <c r="H73" i="33"/>
  <c r="G73" i="33"/>
  <c r="H72" i="33"/>
  <c r="G72" i="33"/>
  <c r="M71" i="33"/>
  <c r="H71" i="33"/>
  <c r="G71" i="33"/>
  <c r="M65" i="33"/>
  <c r="H65" i="33"/>
  <c r="I65" i="33" s="1"/>
  <c r="M62" i="33"/>
  <c r="H62" i="33"/>
  <c r="I62" i="33" s="1"/>
  <c r="L62" i="33" s="1"/>
  <c r="M61" i="33"/>
  <c r="H61" i="33"/>
  <c r="I61" i="33" s="1"/>
  <c r="L61" i="33" s="1"/>
  <c r="M60" i="33"/>
  <c r="H60" i="33"/>
  <c r="I60" i="33" s="1"/>
  <c r="L60" i="33" s="1"/>
  <c r="M57" i="33"/>
  <c r="H57" i="33"/>
  <c r="I57" i="33" s="1"/>
  <c r="L57" i="33" s="1"/>
  <c r="M56" i="33"/>
  <c r="H56" i="33"/>
  <c r="I56" i="33" s="1"/>
  <c r="L56" i="33" s="1"/>
  <c r="M55" i="33"/>
  <c r="H55" i="33"/>
  <c r="I55" i="33" s="1"/>
  <c r="M54" i="33"/>
  <c r="H54" i="33"/>
  <c r="I54" i="33" s="1"/>
  <c r="L54" i="33" s="1"/>
  <c r="M51" i="33"/>
  <c r="H51" i="33"/>
  <c r="I51" i="33" s="1"/>
  <c r="L51" i="33" s="1"/>
  <c r="M50" i="33"/>
  <c r="H50" i="33"/>
  <c r="I50" i="33" s="1"/>
  <c r="L50" i="33" s="1"/>
  <c r="M49" i="33"/>
  <c r="H49" i="33"/>
  <c r="I49" i="33" s="1"/>
  <c r="L49" i="33" s="1"/>
  <c r="M48" i="33"/>
  <c r="H48" i="33"/>
  <c r="I48" i="33" s="1"/>
  <c r="L48" i="33" s="1"/>
  <c r="M47" i="33"/>
  <c r="H47" i="33"/>
  <c r="I47" i="33" s="1"/>
  <c r="L47" i="33" s="1"/>
  <c r="A45" i="33"/>
  <c r="M44" i="33"/>
  <c r="H44" i="33"/>
  <c r="I44" i="33" s="1"/>
  <c r="M43" i="33"/>
  <c r="H43" i="33"/>
  <c r="I43" i="33" s="1"/>
  <c r="L43" i="33" s="1"/>
  <c r="M42" i="33"/>
  <c r="H42" i="33"/>
  <c r="I42" i="33" s="1"/>
  <c r="L42" i="33" s="1"/>
  <c r="M41" i="33"/>
  <c r="H41" i="33"/>
  <c r="I41" i="33" s="1"/>
  <c r="L41" i="33" s="1"/>
  <c r="M40" i="33"/>
  <c r="H40" i="33"/>
  <c r="I40" i="33" s="1"/>
  <c r="L40" i="33" s="1"/>
  <c r="M39" i="33"/>
  <c r="H39" i="33"/>
  <c r="I39" i="33" s="1"/>
  <c r="L39" i="33" s="1"/>
  <c r="A38" i="33"/>
  <c r="A37" i="33"/>
  <c r="M36" i="33"/>
  <c r="H36" i="33"/>
  <c r="I36" i="33" s="1"/>
  <c r="M35" i="33"/>
  <c r="H35" i="33"/>
  <c r="I35" i="33" s="1"/>
  <c r="M34" i="33"/>
  <c r="H34" i="33"/>
  <c r="I34" i="33" s="1"/>
  <c r="A33" i="33"/>
  <c r="A32" i="33"/>
  <c r="M31" i="33"/>
  <c r="H31" i="33"/>
  <c r="I31" i="33" s="1"/>
  <c r="L31" i="33" s="1"/>
  <c r="M30" i="33"/>
  <c r="H30" i="33"/>
  <c r="I30" i="33" s="1"/>
  <c r="L30" i="33" s="1"/>
  <c r="M29" i="33"/>
  <c r="H29" i="33"/>
  <c r="I29" i="33" s="1"/>
  <c r="L29" i="33" s="1"/>
  <c r="M28" i="33"/>
  <c r="H28" i="33"/>
  <c r="I28" i="33" s="1"/>
  <c r="L28" i="33" s="1"/>
  <c r="M27" i="33"/>
  <c r="H27" i="33"/>
  <c r="I27" i="33" s="1"/>
  <c r="M26" i="33"/>
  <c r="H26" i="33"/>
  <c r="I26" i="33" s="1"/>
  <c r="L26" i="33" s="1"/>
  <c r="M25" i="33"/>
  <c r="H25" i="33"/>
  <c r="I25" i="33" s="1"/>
  <c r="L25" i="33" s="1"/>
  <c r="M24" i="33"/>
  <c r="H24" i="33"/>
  <c r="I24" i="33" s="1"/>
  <c r="L24" i="33" s="1"/>
  <c r="M23" i="33"/>
  <c r="H23" i="33"/>
  <c r="I23" i="33" s="1"/>
  <c r="L23" i="33" s="1"/>
  <c r="M22" i="33"/>
  <c r="H22" i="33"/>
  <c r="I22" i="33" s="1"/>
  <c r="L22" i="33" s="1"/>
  <c r="M21" i="33"/>
  <c r="H21" i="33"/>
  <c r="I21" i="33" s="1"/>
  <c r="L21" i="33" s="1"/>
  <c r="A21" i="33"/>
  <c r="G101" i="26"/>
  <c r="G92" i="26"/>
  <c r="M92" i="26"/>
  <c r="G83" i="26"/>
  <c r="G74" i="26"/>
  <c r="G80" i="26"/>
  <c r="G71" i="26"/>
  <c r="M74" i="26"/>
  <c r="G100" i="26"/>
  <c r="G93" i="26"/>
  <c r="M93" i="26"/>
  <c r="M80" i="26"/>
  <c r="M75" i="26"/>
  <c r="M71" i="26"/>
  <c r="G102" i="26"/>
  <c r="G99" i="26"/>
  <c r="G91" i="26"/>
  <c r="G94" i="26"/>
  <c r="M106" i="26"/>
  <c r="G109" i="26"/>
  <c r="G98" i="26"/>
  <c r="M94" i="26"/>
  <c r="G90" i="26"/>
  <c r="G81" i="26"/>
  <c r="M77" i="26"/>
  <c r="M76" i="26"/>
  <c r="M73" i="26"/>
  <c r="G73" i="26"/>
  <c r="M72" i="26"/>
  <c r="G72" i="26"/>
  <c r="A65" i="26" l="1"/>
  <c r="I90" i="33"/>
  <c r="P90" i="33" s="1"/>
  <c r="L90" i="33"/>
  <c r="N90" i="33" s="1"/>
  <c r="N24" i="33"/>
  <c r="S24" i="33" s="1"/>
  <c r="T24" i="33" s="1"/>
  <c r="N51" i="33"/>
  <c r="S51" i="33" s="1"/>
  <c r="T51" i="33" s="1"/>
  <c r="N56" i="33"/>
  <c r="S56" i="33" s="1"/>
  <c r="T56" i="33" s="1"/>
  <c r="N29" i="33"/>
  <c r="S29" i="33" s="1"/>
  <c r="T29" i="33" s="1"/>
  <c r="N43" i="33"/>
  <c r="S43" i="33" s="1"/>
  <c r="T43" i="33" s="1"/>
  <c r="N26" i="33"/>
  <c r="Q26" i="33" s="1"/>
  <c r="G75" i="33"/>
  <c r="I75" i="33" s="1"/>
  <c r="P75" i="33" s="1"/>
  <c r="G84" i="33"/>
  <c r="I84" i="33" s="1"/>
  <c r="P84" i="33" s="1"/>
  <c r="I81" i="33"/>
  <c r="I82" i="33"/>
  <c r="P82" i="33" s="1"/>
  <c r="N21" i="33"/>
  <c r="N61" i="33"/>
  <c r="S61" i="33" s="1"/>
  <c r="T61" i="33" s="1"/>
  <c r="P85" i="33"/>
  <c r="N28" i="33"/>
  <c r="S28" i="33" s="1"/>
  <c r="T28" i="33" s="1"/>
  <c r="N25" i="33"/>
  <c r="Q25" i="33" s="1"/>
  <c r="I72" i="33"/>
  <c r="P72" i="33" s="1"/>
  <c r="N31" i="33"/>
  <c r="S31" i="33" s="1"/>
  <c r="T31" i="33" s="1"/>
  <c r="I73" i="33"/>
  <c r="P73" i="33" s="1"/>
  <c r="I74" i="33"/>
  <c r="N22" i="33"/>
  <c r="S22" i="33" s="1"/>
  <c r="T22" i="33" s="1"/>
  <c r="N42" i="33"/>
  <c r="S42" i="33" s="1"/>
  <c r="T42" i="33" s="1"/>
  <c r="N50" i="33"/>
  <c r="Q50" i="33" s="1"/>
  <c r="I80" i="33"/>
  <c r="P80" i="33" s="1"/>
  <c r="I93" i="33"/>
  <c r="N39" i="33"/>
  <c r="Q39" i="33" s="1"/>
  <c r="N60" i="33"/>
  <c r="Q60" i="33" s="1"/>
  <c r="I83" i="33"/>
  <c r="P83" i="33" s="1"/>
  <c r="N47" i="33"/>
  <c r="Q47" i="33" s="1"/>
  <c r="N40" i="33"/>
  <c r="Q40" i="33" s="1"/>
  <c r="N48" i="33"/>
  <c r="Q48" i="33" s="1"/>
  <c r="I71" i="33"/>
  <c r="L71" i="33" s="1"/>
  <c r="N71" i="33" s="1"/>
  <c r="N49" i="33"/>
  <c r="N23" i="33"/>
  <c r="P77" i="33"/>
  <c r="P86" i="33"/>
  <c r="N41" i="33"/>
  <c r="N57" i="33"/>
  <c r="N54" i="33"/>
  <c r="N62" i="33"/>
  <c r="S21" i="33"/>
  <c r="T21" i="33" s="1"/>
  <c r="Q21" i="33"/>
  <c r="N30" i="33"/>
  <c r="Q51" i="33"/>
  <c r="Q29" i="33"/>
  <c r="A22" i="33"/>
  <c r="A23" i="33" s="1"/>
  <c r="G84" i="26"/>
  <c r="G75" i="26"/>
  <c r="S47" i="33" l="1"/>
  <c r="T47" i="33" s="1"/>
  <c r="Q31" i="33"/>
  <c r="S26" i="33"/>
  <c r="T26" i="33" s="1"/>
  <c r="Q43" i="33"/>
  <c r="S86" i="33"/>
  <c r="T86" i="33" s="1"/>
  <c r="A70" i="26"/>
  <c r="S60" i="33"/>
  <c r="T60" i="33" s="1"/>
  <c r="S85" i="33"/>
  <c r="T85" i="33" s="1"/>
  <c r="Q73" i="33"/>
  <c r="Q61" i="33"/>
  <c r="S40" i="33"/>
  <c r="T40" i="33" s="1"/>
  <c r="Q24" i="33"/>
  <c r="Q28" i="33"/>
  <c r="Q42" i="33"/>
  <c r="S90" i="33"/>
  <c r="T90" i="33" s="1"/>
  <c r="Q90" i="33"/>
  <c r="Q83" i="33"/>
  <c r="P81" i="33"/>
  <c r="Q81" i="33" s="1"/>
  <c r="S82" i="33"/>
  <c r="T82" i="33" s="1"/>
  <c r="Q56" i="33"/>
  <c r="S84" i="33"/>
  <c r="T84" i="33" s="1"/>
  <c r="S48" i="33"/>
  <c r="T48" i="33" s="1"/>
  <c r="S72" i="33"/>
  <c r="T72" i="33" s="1"/>
  <c r="P71" i="33"/>
  <c r="Q71" i="33" s="1"/>
  <c r="S25" i="33"/>
  <c r="T25" i="33" s="1"/>
  <c r="L80" i="33"/>
  <c r="N80" i="33" s="1"/>
  <c r="S80" i="33" s="1"/>
  <c r="T80" i="33" s="1"/>
  <c r="P74" i="33"/>
  <c r="Q74" i="33" s="1"/>
  <c r="S75" i="33"/>
  <c r="T75" i="33" s="1"/>
  <c r="S50" i="33"/>
  <c r="T50" i="33" s="1"/>
  <c r="Q22" i="33"/>
  <c r="S77" i="33"/>
  <c r="T77" i="33" s="1"/>
  <c r="P93" i="33"/>
  <c r="S93" i="33" s="1"/>
  <c r="T93" i="33" s="1"/>
  <c r="Q85" i="33"/>
  <c r="Q84" i="33"/>
  <c r="S39" i="33"/>
  <c r="T39" i="33" s="1"/>
  <c r="S76" i="33"/>
  <c r="T76" i="33" s="1"/>
  <c r="Q76" i="33"/>
  <c r="S99" i="33"/>
  <c r="T99" i="33" s="1"/>
  <c r="Q99" i="33"/>
  <c r="R96" i="33" s="1"/>
  <c r="Q86" i="33"/>
  <c r="Q23" i="33"/>
  <c r="S23" i="33"/>
  <c r="T23" i="33" s="1"/>
  <c r="S57" i="33"/>
  <c r="T57" i="33" s="1"/>
  <c r="Q57" i="33"/>
  <c r="Q77" i="33"/>
  <c r="A24" i="33"/>
  <c r="S49" i="33"/>
  <c r="T49" i="33" s="1"/>
  <c r="Q49" i="33"/>
  <c r="S62" i="33"/>
  <c r="T62" i="33" s="1"/>
  <c r="Q62" i="33"/>
  <c r="S41" i="33"/>
  <c r="T41" i="33" s="1"/>
  <c r="Q41" i="33"/>
  <c r="S30" i="33"/>
  <c r="T30" i="33" s="1"/>
  <c r="Q30" i="33"/>
  <c r="Q75" i="33"/>
  <c r="S54" i="33"/>
  <c r="T54" i="33" s="1"/>
  <c r="Q54" i="33"/>
  <c r="G82" i="26"/>
  <c r="E21" i="12"/>
  <c r="M114" i="26"/>
  <c r="M109" i="26"/>
  <c r="O109" i="26" s="1"/>
  <c r="A115" i="26"/>
  <c r="M65" i="26"/>
  <c r="M62" i="26"/>
  <c r="M61" i="26"/>
  <c r="M60" i="26"/>
  <c r="M57" i="26"/>
  <c r="M56" i="26"/>
  <c r="M55" i="26"/>
  <c r="M54" i="26"/>
  <c r="M51" i="26"/>
  <c r="M50" i="26"/>
  <c r="M49" i="26"/>
  <c r="M48" i="26"/>
  <c r="M47" i="26"/>
  <c r="M44" i="26"/>
  <c r="M43" i="26"/>
  <c r="M42" i="26"/>
  <c r="M41" i="26"/>
  <c r="M40" i="26"/>
  <c r="M39" i="26"/>
  <c r="M36" i="26"/>
  <c r="M35" i="26"/>
  <c r="M34" i="26"/>
  <c r="M31" i="26"/>
  <c r="M30" i="26"/>
  <c r="M29" i="26"/>
  <c r="M28" i="26"/>
  <c r="M27" i="26"/>
  <c r="M26" i="26"/>
  <c r="M25" i="26"/>
  <c r="M24" i="26"/>
  <c r="M23" i="26"/>
  <c r="M22" i="26"/>
  <c r="S73" i="33" l="1"/>
  <c r="T73" i="33" s="1"/>
  <c r="A71" i="26"/>
  <c r="A72" i="26" s="1"/>
  <c r="S83" i="33"/>
  <c r="T83" i="33" s="1"/>
  <c r="Q93" i="33"/>
  <c r="S81" i="33"/>
  <c r="T81" i="33" s="1"/>
  <c r="Q82" i="33"/>
  <c r="Q72" i="33"/>
  <c r="Q80" i="33"/>
  <c r="S71" i="33"/>
  <c r="T71" i="33" s="1"/>
  <c r="S74" i="33"/>
  <c r="T74" i="33" s="1"/>
  <c r="P101" i="33"/>
  <c r="P102" i="33" s="1"/>
  <c r="Q102" i="33" s="1"/>
  <c r="R102" i="33" s="1"/>
  <c r="A25" i="33"/>
  <c r="A26" i="33" s="1"/>
  <c r="R41" i="12"/>
  <c r="K38" i="12"/>
  <c r="K39" i="12"/>
  <c r="K40" i="12"/>
  <c r="K23" i="12"/>
  <c r="K24" i="12"/>
  <c r="A73" i="26" l="1"/>
  <c r="A74" i="26"/>
  <c r="U18" i="33"/>
  <c r="R67" i="33"/>
  <c r="P103" i="33"/>
  <c r="Q103" i="33" s="1"/>
  <c r="R103" i="33" s="1"/>
  <c r="E6" i="33"/>
  <c r="E5" i="33"/>
  <c r="A27" i="33"/>
  <c r="A28" i="33" s="1"/>
  <c r="F11" i="31"/>
  <c r="G29" i="12"/>
  <c r="G45" i="12" s="1"/>
  <c r="G28" i="12"/>
  <c r="G27" i="12"/>
  <c r="G43" i="12" s="1"/>
  <c r="G26" i="12"/>
  <c r="G42" i="12" s="1"/>
  <c r="K65" i="33" l="1"/>
  <c r="L65" i="33" s="1"/>
  <c r="N65" i="33" s="1"/>
  <c r="K55" i="33"/>
  <c r="L55" i="33" s="1"/>
  <c r="N55" i="33" s="1"/>
  <c r="K44" i="33"/>
  <c r="L44" i="33" s="1"/>
  <c r="N44" i="33" s="1"/>
  <c r="K36" i="33"/>
  <c r="L36" i="33" s="1"/>
  <c r="N36" i="33" s="1"/>
  <c r="K35" i="33"/>
  <c r="L35" i="33" s="1"/>
  <c r="N35" i="33" s="1"/>
  <c r="K34" i="33"/>
  <c r="L34" i="33" s="1"/>
  <c r="N34" i="33" s="1"/>
  <c r="K27" i="33"/>
  <c r="L27" i="33" s="1"/>
  <c r="A76" i="26"/>
  <c r="A75" i="26"/>
  <c r="P105" i="33"/>
  <c r="A29" i="33"/>
  <c r="G44" i="12"/>
  <c r="M25" i="12"/>
  <c r="N27" i="33" l="1"/>
  <c r="L101" i="33"/>
  <c r="Q35" i="33"/>
  <c r="S35" i="33"/>
  <c r="T35" i="33" s="1"/>
  <c r="Q34" i="33"/>
  <c r="S34" i="33"/>
  <c r="T34" i="33" s="1"/>
  <c r="S36" i="33"/>
  <c r="T36" i="33" s="1"/>
  <c r="Q36" i="33"/>
  <c r="S55" i="33"/>
  <c r="T55" i="33" s="1"/>
  <c r="Q55" i="33"/>
  <c r="S65" i="33"/>
  <c r="T65" i="33" s="1"/>
  <c r="Q65" i="33"/>
  <c r="S44" i="33"/>
  <c r="T44" i="33" s="1"/>
  <c r="Q44" i="33"/>
  <c r="A30" i="33"/>
  <c r="A31" i="33" s="1"/>
  <c r="A34" i="33" s="1"/>
  <c r="A77" i="26"/>
  <c r="A79" i="26" s="1"/>
  <c r="P106" i="33"/>
  <c r="M41" i="12"/>
  <c r="S27" i="33" l="1"/>
  <c r="T27" i="33" s="1"/>
  <c r="T101" i="33" s="1"/>
  <c r="T106" i="33" s="1"/>
  <c r="Q27" i="33"/>
  <c r="N101" i="33"/>
  <c r="A35" i="33"/>
  <c r="A36" i="33" s="1"/>
  <c r="A80" i="26"/>
  <c r="A81" i="26" s="1"/>
  <c r="A82" i="26" s="1"/>
  <c r="A83" i="26" s="1"/>
  <c r="A84" i="26" s="1"/>
  <c r="A37" i="26"/>
  <c r="A38" i="26"/>
  <c r="A45" i="26"/>
  <c r="A46" i="26"/>
  <c r="A52" i="26"/>
  <c r="A53" i="26"/>
  <c r="A58" i="26"/>
  <c r="A59" i="26"/>
  <c r="E7" i="33" l="1"/>
  <c r="N104" i="33"/>
  <c r="Q104" i="33" s="1"/>
  <c r="R104" i="33" s="1"/>
  <c r="R18" i="33"/>
  <c r="R101" i="33" s="1"/>
  <c r="Q101" i="33"/>
  <c r="A39" i="33"/>
  <c r="A40" i="33" s="1"/>
  <c r="A41" i="33" s="1"/>
  <c r="A42" i="33" s="1"/>
  <c r="A85" i="26"/>
  <c r="A86" i="26" s="1"/>
  <c r="A89" i="26" s="1"/>
  <c r="A90" i="26" s="1"/>
  <c r="A91" i="26" s="1"/>
  <c r="A92" i="26" s="1"/>
  <c r="A93" i="26" s="1"/>
  <c r="A94" i="26" s="1"/>
  <c r="A95" i="26" s="1"/>
  <c r="A97" i="26" s="1"/>
  <c r="A98" i="26" s="1"/>
  <c r="A99" i="26" s="1"/>
  <c r="A100" i="26" s="1"/>
  <c r="A101" i="26" s="1"/>
  <c r="A102" i="26" s="1"/>
  <c r="A103" i="26" s="1"/>
  <c r="A106" i="26" s="1"/>
  <c r="A109" i="26" s="1"/>
  <c r="A114" i="26" s="1"/>
  <c r="A32" i="26"/>
  <c r="A33" i="26"/>
  <c r="M120" i="26"/>
  <c r="M119" i="26"/>
  <c r="M118" i="26"/>
  <c r="M117" i="26"/>
  <c r="M21" i="26"/>
  <c r="A21" i="26"/>
  <c r="N105" i="33" l="1"/>
  <c r="N106" i="33" s="1"/>
  <c r="E4" i="33"/>
  <c r="E8" i="33" s="1"/>
  <c r="E9" i="33" s="1"/>
  <c r="D11" i="12" s="1"/>
  <c r="A43" i="33"/>
  <c r="A44" i="33" s="1"/>
  <c r="A47" i="33" s="1"/>
  <c r="A48" i="33" s="1"/>
  <c r="A49" i="33" s="1"/>
  <c r="A50" i="33" s="1"/>
  <c r="A51" i="33" s="1"/>
  <c r="A54" i="33" s="1"/>
  <c r="A55" i="33" s="1"/>
  <c r="A22" i="26"/>
  <c r="A23" i="26" s="1"/>
  <c r="Q105" i="33" l="1"/>
  <c r="R105" i="33" s="1"/>
  <c r="R106" i="33" s="1"/>
  <c r="A56" i="33"/>
  <c r="A57" i="33" s="1"/>
  <c r="A24" i="26"/>
  <c r="Q106" i="33" l="1"/>
  <c r="A60" i="33"/>
  <c r="A61" i="33" s="1"/>
  <c r="A62" i="33"/>
  <c r="A65" i="33" s="1"/>
  <c r="A70" i="33" s="1"/>
  <c r="A71" i="33" s="1"/>
  <c r="A72" i="33" s="1"/>
  <c r="A73" i="33" s="1"/>
  <c r="A74" i="33" s="1"/>
  <c r="A75" i="33" s="1"/>
  <c r="A76" i="33" s="1"/>
  <c r="A77" i="33" s="1"/>
  <c r="A79" i="33" s="1"/>
  <c r="A80" i="33" s="1"/>
  <c r="A81" i="33" s="1"/>
  <c r="A82" i="33" s="1"/>
  <c r="A83" i="33" s="1"/>
  <c r="A25" i="26"/>
  <c r="A84" i="33" l="1"/>
  <c r="A85" i="33" s="1"/>
  <c r="A86" i="33" s="1"/>
  <c r="A89" i="33" s="1"/>
  <c r="A90" i="33" s="1"/>
  <c r="A92" i="33" s="1"/>
  <c r="A93" i="33" s="1"/>
  <c r="A99" i="33" s="1"/>
  <c r="A26" i="26"/>
  <c r="A27" i="26" l="1"/>
  <c r="A28" i="26" l="1"/>
  <c r="A29" i="26" l="1"/>
  <c r="A30" i="26" l="1"/>
  <c r="A31" i="26" s="1"/>
  <c r="A34" i="26" s="1"/>
  <c r="A35" i="26" l="1"/>
  <c r="R25" i="12"/>
  <c r="A36" i="26" l="1"/>
  <c r="A39" i="26" s="1"/>
  <c r="A40" i="26" s="1"/>
  <c r="A41" i="26" s="1"/>
  <c r="A42" i="26" s="1"/>
  <c r="A43" i="26" s="1"/>
  <c r="A44" i="26" s="1"/>
  <c r="A47" i="26" s="1"/>
  <c r="A48" i="26" s="1"/>
  <c r="A49" i="26" s="1"/>
  <c r="A50" i="26" s="1"/>
  <c r="A51" i="26" s="1"/>
  <c r="A54" i="26" s="1"/>
  <c r="A55" i="26" s="1"/>
  <c r="A56" i="26" s="1"/>
  <c r="A57" i="26" s="1"/>
  <c r="A60" i="26" s="1"/>
  <c r="A61" i="26" s="1"/>
  <c r="L4" i="12" l="1"/>
  <c r="C122" i="22" l="1"/>
  <c r="H83" i="26" s="1"/>
  <c r="I83" i="26" s="1"/>
  <c r="C123" i="22"/>
  <c r="C118" i="22"/>
  <c r="H101" i="26" s="1"/>
  <c r="I101" i="26" s="1"/>
  <c r="C119" i="22"/>
  <c r="C120" i="22"/>
  <c r="C121" i="22"/>
  <c r="C117" i="22"/>
  <c r="C116" i="22"/>
  <c r="P101" i="26" l="1"/>
  <c r="S101" i="26" s="1"/>
  <c r="T101" i="26" s="1"/>
  <c r="H93" i="26"/>
  <c r="I93" i="26" s="1"/>
  <c r="L93" i="26" s="1"/>
  <c r="N93" i="26" s="1"/>
  <c r="H92" i="26"/>
  <c r="I92" i="26" s="1"/>
  <c r="P83" i="26"/>
  <c r="H100" i="26"/>
  <c r="I100" i="26" s="1"/>
  <c r="P100" i="26" s="1"/>
  <c r="H74" i="26"/>
  <c r="I74" i="26" s="1"/>
  <c r="P93" i="26"/>
  <c r="H71" i="26"/>
  <c r="I71" i="26" s="1"/>
  <c r="L71" i="26" s="1"/>
  <c r="N71" i="26" s="1"/>
  <c r="H80" i="26"/>
  <c r="I80" i="26" s="1"/>
  <c r="H75" i="26"/>
  <c r="I75" i="26" s="1"/>
  <c r="P75" i="26" s="1"/>
  <c r="H84" i="26"/>
  <c r="I84" i="26" s="1"/>
  <c r="H91" i="26"/>
  <c r="I91" i="26" s="1"/>
  <c r="P91" i="26" s="1"/>
  <c r="H99" i="26"/>
  <c r="I99" i="26" s="1"/>
  <c r="H94" i="26"/>
  <c r="I94" i="26" s="1"/>
  <c r="P94" i="26" s="1"/>
  <c r="H106" i="26"/>
  <c r="I106" i="26" s="1"/>
  <c r="H90" i="26"/>
  <c r="I90" i="26" s="1"/>
  <c r="H95" i="26"/>
  <c r="I95" i="26" s="1"/>
  <c r="H98" i="26"/>
  <c r="I98" i="26" s="1"/>
  <c r="H103" i="26"/>
  <c r="I103" i="26" s="1"/>
  <c r="H73" i="26"/>
  <c r="I73" i="26" s="1"/>
  <c r="P73" i="26" s="1"/>
  <c r="H102" i="26"/>
  <c r="I102" i="26" s="1"/>
  <c r="H81" i="26"/>
  <c r="I81" i="26" s="1"/>
  <c r="H77" i="26"/>
  <c r="I77" i="26" s="1"/>
  <c r="H72" i="26"/>
  <c r="I72" i="26" s="1"/>
  <c r="H76" i="26"/>
  <c r="I76" i="26" s="1"/>
  <c r="H82" i="26"/>
  <c r="I82" i="26" s="1"/>
  <c r="P82" i="26" s="1"/>
  <c r="H85" i="26"/>
  <c r="I85" i="26" s="1"/>
  <c r="H109" i="26"/>
  <c r="I109" i="26" s="1"/>
  <c r="H86" i="26"/>
  <c r="I86" i="26" s="1"/>
  <c r="H114" i="26"/>
  <c r="I114" i="26" s="1"/>
  <c r="H55" i="26"/>
  <c r="I55" i="26" s="1"/>
  <c r="H43" i="26"/>
  <c r="I43" i="26" s="1"/>
  <c r="L43" i="26" s="1"/>
  <c r="N43" i="26" s="1"/>
  <c r="S43" i="26" s="1"/>
  <c r="T43" i="26" s="1"/>
  <c r="H31" i="26"/>
  <c r="I31" i="26" s="1"/>
  <c r="H23" i="26"/>
  <c r="I23" i="26" s="1"/>
  <c r="L23" i="26" s="1"/>
  <c r="N23" i="26" s="1"/>
  <c r="S23" i="26" s="1"/>
  <c r="T23" i="26" s="1"/>
  <c r="H54" i="26"/>
  <c r="I54" i="26" s="1"/>
  <c r="L54" i="26" s="1"/>
  <c r="N54" i="26" s="1"/>
  <c r="S54" i="26" s="1"/>
  <c r="T54" i="26" s="1"/>
  <c r="H42" i="26"/>
  <c r="I42" i="26" s="1"/>
  <c r="L42" i="26" s="1"/>
  <c r="N42" i="26" s="1"/>
  <c r="S42" i="26" s="1"/>
  <c r="T42" i="26" s="1"/>
  <c r="H30" i="26"/>
  <c r="I30" i="26" s="1"/>
  <c r="L30" i="26" s="1"/>
  <c r="N30" i="26" s="1"/>
  <c r="S30" i="26" s="1"/>
  <c r="T30" i="26" s="1"/>
  <c r="H22" i="26"/>
  <c r="I22" i="26" s="1"/>
  <c r="L22" i="26" s="1"/>
  <c r="N22" i="26" s="1"/>
  <c r="S22" i="26" s="1"/>
  <c r="T22" i="26" s="1"/>
  <c r="H65" i="26"/>
  <c r="I65" i="26" s="1"/>
  <c r="H51" i="26"/>
  <c r="I51" i="26" s="1"/>
  <c r="L51" i="26" s="1"/>
  <c r="N51" i="26" s="1"/>
  <c r="S51" i="26" s="1"/>
  <c r="T51" i="26" s="1"/>
  <c r="H41" i="26"/>
  <c r="I41" i="26" s="1"/>
  <c r="L41" i="26" s="1"/>
  <c r="N41" i="26" s="1"/>
  <c r="S41" i="26" s="1"/>
  <c r="T41" i="26" s="1"/>
  <c r="H29" i="26"/>
  <c r="I29" i="26" s="1"/>
  <c r="L29" i="26" s="1"/>
  <c r="N29" i="26" s="1"/>
  <c r="S29" i="26" s="1"/>
  <c r="T29" i="26" s="1"/>
  <c r="H62" i="26"/>
  <c r="I62" i="26" s="1"/>
  <c r="L62" i="26" s="1"/>
  <c r="N62" i="26" s="1"/>
  <c r="S62" i="26" s="1"/>
  <c r="T62" i="26" s="1"/>
  <c r="H50" i="26"/>
  <c r="I50" i="26" s="1"/>
  <c r="L50" i="26" s="1"/>
  <c r="N50" i="26" s="1"/>
  <c r="S50" i="26" s="1"/>
  <c r="T50" i="26" s="1"/>
  <c r="H40" i="26"/>
  <c r="I40" i="26" s="1"/>
  <c r="L40" i="26" s="1"/>
  <c r="N40" i="26" s="1"/>
  <c r="S40" i="26" s="1"/>
  <c r="T40" i="26" s="1"/>
  <c r="H28" i="26"/>
  <c r="I28" i="26" s="1"/>
  <c r="L28" i="26" s="1"/>
  <c r="N28" i="26" s="1"/>
  <c r="S28" i="26" s="1"/>
  <c r="T28" i="26" s="1"/>
  <c r="H61" i="26"/>
  <c r="I61" i="26" s="1"/>
  <c r="L61" i="26" s="1"/>
  <c r="N61" i="26" s="1"/>
  <c r="S61" i="26" s="1"/>
  <c r="T61" i="26" s="1"/>
  <c r="H49" i="26"/>
  <c r="I49" i="26" s="1"/>
  <c r="L49" i="26" s="1"/>
  <c r="N49" i="26" s="1"/>
  <c r="S49" i="26" s="1"/>
  <c r="T49" i="26" s="1"/>
  <c r="H39" i="26"/>
  <c r="I39" i="26" s="1"/>
  <c r="L39" i="26" s="1"/>
  <c r="N39" i="26" s="1"/>
  <c r="S39" i="26" s="1"/>
  <c r="T39" i="26" s="1"/>
  <c r="H27" i="26"/>
  <c r="I27" i="26" s="1"/>
  <c r="H60" i="26"/>
  <c r="I60" i="26" s="1"/>
  <c r="L60" i="26" s="1"/>
  <c r="N60" i="26" s="1"/>
  <c r="S60" i="26" s="1"/>
  <c r="T60" i="26" s="1"/>
  <c r="H48" i="26"/>
  <c r="I48" i="26" s="1"/>
  <c r="L48" i="26" s="1"/>
  <c r="N48" i="26" s="1"/>
  <c r="S48" i="26" s="1"/>
  <c r="T48" i="26" s="1"/>
  <c r="H36" i="26"/>
  <c r="I36" i="26" s="1"/>
  <c r="H26" i="26"/>
  <c r="I26" i="26" s="1"/>
  <c r="L26" i="26" s="1"/>
  <c r="N26" i="26" s="1"/>
  <c r="S26" i="26" s="1"/>
  <c r="T26" i="26" s="1"/>
  <c r="H56" i="26"/>
  <c r="I56" i="26" s="1"/>
  <c r="L56" i="26" s="1"/>
  <c r="N56" i="26" s="1"/>
  <c r="S56" i="26" s="1"/>
  <c r="T56" i="26" s="1"/>
  <c r="H44" i="26"/>
  <c r="I44" i="26" s="1"/>
  <c r="H34" i="26"/>
  <c r="I34" i="26" s="1"/>
  <c r="H24" i="26"/>
  <c r="I24" i="26" s="1"/>
  <c r="L24" i="26" s="1"/>
  <c r="N24" i="26" s="1"/>
  <c r="S24" i="26" s="1"/>
  <c r="T24" i="26" s="1"/>
  <c r="H47" i="26"/>
  <c r="I47" i="26" s="1"/>
  <c r="L47" i="26" s="1"/>
  <c r="N47" i="26" s="1"/>
  <c r="S47" i="26" s="1"/>
  <c r="T47" i="26" s="1"/>
  <c r="H35" i="26"/>
  <c r="I35" i="26" s="1"/>
  <c r="H25" i="26"/>
  <c r="I25" i="26" s="1"/>
  <c r="L25" i="26" s="1"/>
  <c r="N25" i="26" s="1"/>
  <c r="S25" i="26" s="1"/>
  <c r="T25" i="26" s="1"/>
  <c r="H57" i="26"/>
  <c r="I57" i="26" s="1"/>
  <c r="L57" i="26" s="1"/>
  <c r="N57" i="26" s="1"/>
  <c r="S57" i="26" s="1"/>
  <c r="T57" i="26" s="1"/>
  <c r="H21" i="26"/>
  <c r="I21" i="26" s="1"/>
  <c r="L21" i="26" s="1"/>
  <c r="Q101" i="26" l="1"/>
  <c r="S83" i="26"/>
  <c r="T83" i="26" s="1"/>
  <c r="P92" i="26"/>
  <c r="L92" i="26"/>
  <c r="N92" i="26" s="1"/>
  <c r="Q83" i="26"/>
  <c r="Q100" i="26"/>
  <c r="S93" i="26"/>
  <c r="T93" i="26" s="1"/>
  <c r="P74" i="26"/>
  <c r="L74" i="26"/>
  <c r="N74" i="26" s="1"/>
  <c r="S74" i="26" s="1"/>
  <c r="T74" i="26" s="1"/>
  <c r="Q93" i="26"/>
  <c r="L75" i="26"/>
  <c r="N75" i="26" s="1"/>
  <c r="Q75" i="26" s="1"/>
  <c r="P71" i="26"/>
  <c r="Q71" i="26" s="1"/>
  <c r="P80" i="26"/>
  <c r="L80" i="26"/>
  <c r="N80" i="26" s="1"/>
  <c r="S80" i="26" s="1"/>
  <c r="T80" i="26" s="1"/>
  <c r="P84" i="26"/>
  <c r="S91" i="26"/>
  <c r="T91" i="26" s="1"/>
  <c r="P99" i="26"/>
  <c r="P81" i="26"/>
  <c r="S81" i="26" s="1"/>
  <c r="T81" i="26" s="1"/>
  <c r="L106" i="26"/>
  <c r="N106" i="26" s="1"/>
  <c r="P106" i="26"/>
  <c r="L94" i="26"/>
  <c r="N94" i="26" s="1"/>
  <c r="S94" i="26" s="1"/>
  <c r="T94" i="26" s="1"/>
  <c r="L73" i="26"/>
  <c r="N73" i="26" s="1"/>
  <c r="S73" i="26" s="1"/>
  <c r="T73" i="26" s="1"/>
  <c r="P95" i="26"/>
  <c r="P90" i="26"/>
  <c r="P102" i="26"/>
  <c r="P103" i="26"/>
  <c r="P98" i="26"/>
  <c r="L76" i="26"/>
  <c r="N76" i="26" s="1"/>
  <c r="P76" i="26"/>
  <c r="P72" i="26"/>
  <c r="L72" i="26"/>
  <c r="N72" i="26" s="1"/>
  <c r="P77" i="26"/>
  <c r="L77" i="26"/>
  <c r="N77" i="26" s="1"/>
  <c r="S82" i="26"/>
  <c r="T82" i="26" s="1"/>
  <c r="P85" i="26"/>
  <c r="P86" i="26"/>
  <c r="L114" i="26"/>
  <c r="N114" i="26" s="1"/>
  <c r="P114" i="26"/>
  <c r="L109" i="26"/>
  <c r="N109" i="26" s="1"/>
  <c r="P109" i="26"/>
  <c r="L31" i="26"/>
  <c r="N31" i="26" s="1"/>
  <c r="S31" i="26" s="1"/>
  <c r="T31" i="26" s="1"/>
  <c r="Q48" i="26"/>
  <c r="Q22" i="26"/>
  <c r="Q40" i="26"/>
  <c r="N21" i="26"/>
  <c r="Q23" i="26"/>
  <c r="Q49" i="26"/>
  <c r="Q51" i="26"/>
  <c r="Q62" i="26"/>
  <c r="Q28" i="26"/>
  <c r="Q54" i="26"/>
  <c r="Q26" i="26"/>
  <c r="Q43" i="26"/>
  <c r="Q30" i="26"/>
  <c r="Q60" i="26"/>
  <c r="Q29" i="26"/>
  <c r="Q47" i="26"/>
  <c r="Q24" i="26"/>
  <c r="Q42" i="26"/>
  <c r="Q56" i="26"/>
  <c r="Q41" i="26"/>
  <c r="Q61" i="26"/>
  <c r="Q25" i="26"/>
  <c r="Q50" i="26"/>
  <c r="Q39" i="26"/>
  <c r="Q57" i="26"/>
  <c r="S92" i="26" l="1"/>
  <c r="T92" i="26" s="1"/>
  <c r="S100" i="26"/>
  <c r="T100" i="26" s="1"/>
  <c r="Q92" i="26"/>
  <c r="S75" i="26"/>
  <c r="T75" i="26" s="1"/>
  <c r="Q74" i="26"/>
  <c r="S71" i="26"/>
  <c r="T71" i="26" s="1"/>
  <c r="S84" i="26"/>
  <c r="T84" i="26" s="1"/>
  <c r="Q106" i="26"/>
  <c r="Q80" i="26"/>
  <c r="Q91" i="26"/>
  <c r="Q84" i="26"/>
  <c r="S99" i="26"/>
  <c r="T99" i="26" s="1"/>
  <c r="S90" i="26"/>
  <c r="T90" i="26" s="1"/>
  <c r="Q81" i="26"/>
  <c r="Q99" i="26"/>
  <c r="S98" i="26"/>
  <c r="T98" i="26" s="1"/>
  <c r="S106" i="26"/>
  <c r="T106" i="26" s="1"/>
  <c r="Q94" i="26"/>
  <c r="Q73" i="26"/>
  <c r="Q103" i="26"/>
  <c r="Q95" i="26"/>
  <c r="Q90" i="26"/>
  <c r="Q76" i="26"/>
  <c r="S95" i="26"/>
  <c r="T95" i="26" s="1"/>
  <c r="Q102" i="26"/>
  <c r="Q98" i="26"/>
  <c r="Q77" i="26"/>
  <c r="S103" i="26"/>
  <c r="T103" i="26" s="1"/>
  <c r="S76" i="26"/>
  <c r="T76" i="26" s="1"/>
  <c r="Q72" i="26"/>
  <c r="S102" i="26"/>
  <c r="T102" i="26" s="1"/>
  <c r="S77" i="26"/>
  <c r="T77" i="26" s="1"/>
  <c r="S72" i="26"/>
  <c r="T72" i="26" s="1"/>
  <c r="Q82" i="26"/>
  <c r="S85" i="26"/>
  <c r="T85" i="26" s="1"/>
  <c r="Q85" i="26"/>
  <c r="D22" i="12"/>
  <c r="E22" i="12"/>
  <c r="E24" i="12"/>
  <c r="D24" i="12"/>
  <c r="E23" i="12"/>
  <c r="D23" i="12"/>
  <c r="S109" i="26"/>
  <c r="T109" i="26" s="1"/>
  <c r="S86" i="26"/>
  <c r="T86" i="26" s="1"/>
  <c r="S114" i="26"/>
  <c r="T114" i="26" s="1"/>
  <c r="Q109" i="26"/>
  <c r="Q86" i="26"/>
  <c r="Q114" i="26"/>
  <c r="S21" i="26"/>
  <c r="T21" i="26" s="1"/>
  <c r="Q31" i="26"/>
  <c r="Q21" i="26"/>
  <c r="R67" i="26" l="1"/>
  <c r="J24" i="12"/>
  <c r="J23" i="12"/>
  <c r="J22" i="12"/>
  <c r="F22" i="12"/>
  <c r="F23" i="12"/>
  <c r="R111" i="26"/>
  <c r="F24" i="12"/>
  <c r="L23" i="12" l="1"/>
  <c r="L24" i="12"/>
  <c r="K22" i="12" l="1"/>
  <c r="L22" i="12" l="1"/>
  <c r="P116" i="26" l="1"/>
  <c r="P117" i="26" l="1"/>
  <c r="Q117" i="26" s="1"/>
  <c r="R117" i="26" s="1"/>
  <c r="E5" i="26"/>
  <c r="P118" i="26"/>
  <c r="Q118" i="26" s="1"/>
  <c r="R118" i="26" s="1"/>
  <c r="E6" i="26"/>
  <c r="U18" i="26" l="1"/>
  <c r="P120" i="26"/>
  <c r="K34" i="26" l="1"/>
  <c r="K27" i="26"/>
  <c r="K55" i="26"/>
  <c r="K44" i="26"/>
  <c r="K35" i="26"/>
  <c r="K65" i="26"/>
  <c r="K36" i="26"/>
  <c r="P121" i="26"/>
  <c r="L36" i="26" l="1"/>
  <c r="N36" i="26" s="1"/>
  <c r="S36" i="26" s="1"/>
  <c r="T36" i="26" s="1"/>
  <c r="L44" i="26"/>
  <c r="N44" i="26" s="1"/>
  <c r="S44" i="26" s="1"/>
  <c r="T44" i="26" s="1"/>
  <c r="L35" i="26"/>
  <c r="N35" i="26" s="1"/>
  <c r="S35" i="26" s="1"/>
  <c r="T35" i="26" s="1"/>
  <c r="L27" i="26"/>
  <c r="L34" i="26"/>
  <c r="N34" i="26" s="1"/>
  <c r="S34" i="26" s="1"/>
  <c r="T34" i="26" s="1"/>
  <c r="L55" i="26"/>
  <c r="N55" i="26" s="1"/>
  <c r="S55" i="26" s="1"/>
  <c r="T55" i="26" s="1"/>
  <c r="L65" i="26"/>
  <c r="N65" i="26" s="1"/>
  <c r="S65" i="26" s="1"/>
  <c r="T65" i="26" s="1"/>
  <c r="N27" i="26" l="1"/>
  <c r="L116" i="26"/>
  <c r="Q65" i="26"/>
  <c r="Q44" i="26"/>
  <c r="Q35" i="26"/>
  <c r="Q55" i="26"/>
  <c r="Q34" i="26"/>
  <c r="Q36" i="26"/>
  <c r="S27" i="26" l="1"/>
  <c r="T27" i="26" s="1"/>
  <c r="D21" i="12"/>
  <c r="N116" i="26"/>
  <c r="Q27" i="26"/>
  <c r="R18" i="26" s="1"/>
  <c r="R116" i="26" l="1"/>
  <c r="Q116" i="26"/>
  <c r="E4" i="26" s="1"/>
  <c r="F21" i="12"/>
  <c r="F25" i="12" s="1"/>
  <c r="E25" i="12"/>
  <c r="J21" i="12"/>
  <c r="D25" i="12"/>
  <c r="E7" i="26"/>
  <c r="N119" i="26"/>
  <c r="T116" i="26"/>
  <c r="T121" i="26" s="1"/>
  <c r="G22" i="12" l="1"/>
  <c r="G23" i="12"/>
  <c r="G21" i="12"/>
  <c r="G24" i="12"/>
  <c r="C5" i="31"/>
  <c r="E27" i="12"/>
  <c r="E26" i="12"/>
  <c r="D28" i="12"/>
  <c r="C9" i="31" s="1"/>
  <c r="C6" i="31"/>
  <c r="E8" i="26"/>
  <c r="Q119" i="26"/>
  <c r="R119" i="26" s="1"/>
  <c r="N120" i="26"/>
  <c r="Q120" i="26" s="1"/>
  <c r="J25" i="12"/>
  <c r="K21" i="12"/>
  <c r="F26" i="12" l="1"/>
  <c r="C7" i="31"/>
  <c r="F7" i="31" s="1"/>
  <c r="C8" i="31"/>
  <c r="F8" i="31" s="1"/>
  <c r="F27" i="12"/>
  <c r="F28" i="12"/>
  <c r="Q121" i="26"/>
  <c r="F9" i="31"/>
  <c r="G25" i="12"/>
  <c r="R120" i="26"/>
  <c r="R121" i="26" s="1"/>
  <c r="N121" i="26"/>
  <c r="E9" i="26"/>
  <c r="D10" i="12" s="1"/>
  <c r="L6" i="12" s="1"/>
  <c r="K25" i="12"/>
  <c r="L21" i="12"/>
  <c r="F37" i="12" l="1"/>
  <c r="G37" i="12" s="1"/>
  <c r="E37" i="12"/>
  <c r="F29" i="12"/>
  <c r="C10" i="31" s="1"/>
  <c r="C11" i="31" s="1"/>
  <c r="E40" i="12"/>
  <c r="E39" i="12"/>
  <c r="D39" i="12"/>
  <c r="D38" i="12"/>
  <c r="D40" i="12"/>
  <c r="F38" i="12"/>
  <c r="G38" i="12" s="1"/>
  <c r="E38" i="12"/>
  <c r="F39" i="12"/>
  <c r="G39" i="12" s="1"/>
  <c r="F40" i="12"/>
  <c r="G40" i="12" s="1"/>
  <c r="L25" i="12"/>
  <c r="D37" i="12"/>
  <c r="F10" i="31" l="1"/>
  <c r="F30" i="12"/>
  <c r="J40" i="12"/>
  <c r="L40" i="12" s="1"/>
  <c r="J39" i="12"/>
  <c r="L39" i="12" s="1"/>
  <c r="J38" i="12"/>
  <c r="L38" i="12" s="1"/>
  <c r="D7" i="31"/>
  <c r="D8" i="31"/>
  <c r="D5" i="31"/>
  <c r="D6" i="31"/>
  <c r="D9" i="31"/>
  <c r="D10" i="31"/>
  <c r="J37" i="12"/>
  <c r="E41" i="12"/>
  <c r="D41" i="12"/>
  <c r="F41" i="12"/>
  <c r="D44" i="12" l="1"/>
  <c r="F44" i="12" s="1"/>
  <c r="E43" i="12"/>
  <c r="F43" i="12" s="1"/>
  <c r="E42" i="12"/>
  <c r="F42" i="12" s="1"/>
  <c r="G41" i="12"/>
  <c r="K37" i="12"/>
  <c r="J41" i="12"/>
  <c r="F45" i="12" l="1"/>
  <c r="F46" i="12" s="1"/>
  <c r="K41" i="12"/>
  <c r="L37" i="12"/>
  <c r="L41" i="12" l="1"/>
</calcChain>
</file>

<file path=xl/sharedStrings.xml><?xml version="1.0" encoding="utf-8"?>
<sst xmlns="http://schemas.openxmlformats.org/spreadsheetml/2006/main" count="2297" uniqueCount="793">
  <si>
    <t>Project Dashboard</t>
  </si>
  <si>
    <t xml:space="preserve">      </t>
  </si>
  <si>
    <t xml:space="preserve">            Contentration of Sub-Contractor Cost</t>
  </si>
  <si>
    <t>Pie Chart:</t>
  </si>
  <si>
    <t>Type</t>
  </si>
  <si>
    <t>Amount</t>
  </si>
  <si>
    <t>Material</t>
  </si>
  <si>
    <t>Labor</t>
  </si>
  <si>
    <t>Percentage</t>
  </si>
  <si>
    <t>Material Tax</t>
  </si>
  <si>
    <t>Overhead &amp; Profit (Material)</t>
  </si>
  <si>
    <t>Overhead &amp; Profit (Labor)</t>
  </si>
  <si>
    <t>Bond Fee</t>
  </si>
  <si>
    <t>OH &amp; P on subnotes</t>
  </si>
  <si>
    <t>COST SUMMARY</t>
  </si>
  <si>
    <t>Date:</t>
  </si>
  <si>
    <t xml:space="preserve">Project Type: </t>
  </si>
  <si>
    <t>Project:</t>
  </si>
  <si>
    <t>Scope of Work:</t>
  </si>
  <si>
    <t>Project Location:</t>
  </si>
  <si>
    <t>Total Base Bid:</t>
  </si>
  <si>
    <t>BASE BID
/ALTERNATES/ALLOWANCES</t>
  </si>
  <si>
    <t>TOTAL
COSTS</t>
  </si>
  <si>
    <t>Please enter the sub-quotes in column R (Highlighted orange) against each division/trade and update the Overhead &amp; Profit % as required below; column K will be updated automatically with Subquotes with OH&amp;P. If there is no value entered in column R, the cost from column J (by DE) will be picked.</t>
  </si>
  <si>
    <t xml:space="preserve">Base Bid </t>
  </si>
  <si>
    <t>Separate Permit</t>
  </si>
  <si>
    <t>Hourly Rates Tab</t>
  </si>
  <si>
    <t>OH&amp;P on Subquotes</t>
  </si>
  <si>
    <t>For Client's Use Only</t>
  </si>
  <si>
    <t>CSI Summary for Base Bid</t>
  </si>
  <si>
    <t>Comparison with Sub-Quotes</t>
  </si>
  <si>
    <t xml:space="preserve">Enter the numbers manually </t>
  </si>
  <si>
    <t>Enter Subquotes below</t>
  </si>
  <si>
    <t>Div. No.</t>
  </si>
  <si>
    <t>CSI Division</t>
  </si>
  <si>
    <t>Labor Cost</t>
  </si>
  <si>
    <t>Material Cost</t>
  </si>
  <si>
    <t>Total Cost</t>
  </si>
  <si>
    <t>% of sub-total cost</t>
  </si>
  <si>
    <t>Division Cost with OH&amp;P &amp; Material Tax</t>
  </si>
  <si>
    <t>Sub-Quotes w/ OH&amp;P</t>
  </si>
  <si>
    <t>Difference</t>
  </si>
  <si>
    <t>Finalized Bid amount by GC</t>
  </si>
  <si>
    <t>Remarks</t>
  </si>
  <si>
    <t>DIV-01</t>
  </si>
  <si>
    <t>General Requirements</t>
  </si>
  <si>
    <t>DIV-02</t>
  </si>
  <si>
    <t>Existing conditions</t>
  </si>
  <si>
    <t>DIV-03</t>
  </si>
  <si>
    <t>DIV-04</t>
  </si>
  <si>
    <t>DIV-05</t>
  </si>
  <si>
    <t>DIV-06</t>
  </si>
  <si>
    <t>DIV-07</t>
  </si>
  <si>
    <t>DIV-08</t>
  </si>
  <si>
    <t>DIV-09</t>
  </si>
  <si>
    <t>DIV-10</t>
  </si>
  <si>
    <t>DIV-11</t>
  </si>
  <si>
    <t>Equipment</t>
  </si>
  <si>
    <t>DIV-12</t>
  </si>
  <si>
    <t>DIV-13</t>
  </si>
  <si>
    <t>Special Construction</t>
  </si>
  <si>
    <t>DIV-14</t>
  </si>
  <si>
    <t>DIV-21</t>
  </si>
  <si>
    <t>Fire Suppression</t>
  </si>
  <si>
    <t>DIV-22</t>
  </si>
  <si>
    <t>DIV-23</t>
  </si>
  <si>
    <t>DIV-26</t>
  </si>
  <si>
    <t>DIV-27</t>
  </si>
  <si>
    <t>DIV-31</t>
  </si>
  <si>
    <t>DIV-32</t>
  </si>
  <si>
    <t>Exterior Improvements</t>
  </si>
  <si>
    <t>DIV-33</t>
  </si>
  <si>
    <t>Utilities</t>
  </si>
  <si>
    <t>SUB TOTAL</t>
  </si>
  <si>
    <t>MATERIAL TAX</t>
  </si>
  <si>
    <r>
      <t>OVERHEAD &amp; PROFIT / INFLATION</t>
    </r>
    <r>
      <rPr>
        <b/>
        <sz val="12"/>
        <color rgb="FFFF0000"/>
        <rFont val="Calibri"/>
        <family val="2"/>
        <scheme val="minor"/>
      </rPr>
      <t xml:space="preserve"> (Material)</t>
    </r>
  </si>
  <si>
    <r>
      <t xml:space="preserve">OVERHEAD &amp; PROFIT </t>
    </r>
    <r>
      <rPr>
        <b/>
        <sz val="12"/>
        <color rgb="FFFF0000"/>
        <rFont val="Calibri"/>
        <family val="2"/>
        <scheme val="minor"/>
      </rPr>
      <t>(Labor)</t>
    </r>
  </si>
  <si>
    <t>TOTAL BASE BID</t>
  </si>
  <si>
    <t>Sub-Contractor/Trade Summary for Base Bid</t>
  </si>
  <si>
    <t>Sub Contractor</t>
  </si>
  <si>
    <t>Sub Contractor Cost with OH&amp;P &amp; Material Tax</t>
  </si>
  <si>
    <t>Accessories</t>
  </si>
  <si>
    <t>Acoustical and Metal Ceiling</t>
  </si>
  <si>
    <t>Appliances</t>
  </si>
  <si>
    <t>Asbestos Worker</t>
  </si>
  <si>
    <t>Awnings / Canopies</t>
  </si>
  <si>
    <t>Cabinetry</t>
  </si>
  <si>
    <t>Carpenter Millwork</t>
  </si>
  <si>
    <t>Ceiling - Others</t>
  </si>
  <si>
    <t>Cladding - Metal</t>
  </si>
  <si>
    <t>Cladding - Wood</t>
  </si>
  <si>
    <t>Cladding - Other</t>
  </si>
  <si>
    <t>Clean - Power Wash</t>
  </si>
  <si>
    <t>Clearing &amp; Grubbing</t>
  </si>
  <si>
    <t>Communication</t>
  </si>
  <si>
    <t>Concrete - Building</t>
  </si>
  <si>
    <t>Countertops</t>
  </si>
  <si>
    <t>Curtain Wall</t>
  </si>
  <si>
    <t>Demo - Building</t>
  </si>
  <si>
    <t>Demo - Site</t>
  </si>
  <si>
    <t>Dewatering</t>
  </si>
  <si>
    <t>Doors &amp; Hardware</t>
  </si>
  <si>
    <t>Dry Waller</t>
  </si>
  <si>
    <t>Earth worker</t>
  </si>
  <si>
    <t>Electrician</t>
  </si>
  <si>
    <t>Electronic Safety and Security (FA)</t>
  </si>
  <si>
    <t>Elevator</t>
  </si>
  <si>
    <t>Erosion Control</t>
  </si>
  <si>
    <t>Exterior  improvements</t>
  </si>
  <si>
    <t>Exterior Painter</t>
  </si>
  <si>
    <t>Exterior Signage</t>
  </si>
  <si>
    <t>Fencing and Gates - Metal</t>
  </si>
  <si>
    <t>Fencing and Gates - Wood</t>
  </si>
  <si>
    <t>Fencing and Gates - Other</t>
  </si>
  <si>
    <t>Finish Carpenter</t>
  </si>
  <si>
    <t>Fire Proofing</t>
  </si>
  <si>
    <t>Fireplace</t>
  </si>
  <si>
    <t>Flooring</t>
  </si>
  <si>
    <t>Folding/Moveable Partition</t>
  </si>
  <si>
    <t>Framer Cold Form</t>
  </si>
  <si>
    <t>Framer Light Gauge</t>
  </si>
  <si>
    <t>Framer Lumber</t>
  </si>
  <si>
    <t>Framer Rough Carpenter</t>
  </si>
  <si>
    <t>Furniture</t>
  </si>
  <si>
    <t>Glazier</t>
  </si>
  <si>
    <t>Hazardous Material Handler</t>
  </si>
  <si>
    <t>Insulation</t>
  </si>
  <si>
    <t>Interior Painter</t>
  </si>
  <si>
    <t>Interior Signage</t>
  </si>
  <si>
    <t>Irrigation</t>
  </si>
  <si>
    <t>Joint Sealants</t>
  </si>
  <si>
    <t>Landscaper</t>
  </si>
  <si>
    <t>Mailboxes</t>
  </si>
  <si>
    <t>Mason - Brick Veneer</t>
  </si>
  <si>
    <t>Mason - Cast Stone</t>
  </si>
  <si>
    <t>Mason - CMU</t>
  </si>
  <si>
    <t>Mechanical</t>
  </si>
  <si>
    <t>Millwork</t>
  </si>
  <si>
    <t>Ornamental Steel</t>
  </si>
  <si>
    <t>Paneling - Metal</t>
  </si>
  <si>
    <t>Paneling - Wood</t>
  </si>
  <si>
    <t>Paneling - Other</t>
  </si>
  <si>
    <t>Paving</t>
  </si>
  <si>
    <t>Pergolas</t>
  </si>
  <si>
    <t>Piling</t>
  </si>
  <si>
    <t>Playground Equipment</t>
  </si>
  <si>
    <t>Plumber</t>
  </si>
  <si>
    <t>Pool</t>
  </si>
  <si>
    <t>Precast Concrete</t>
  </si>
  <si>
    <t>Pre-Engineered Metal Building</t>
  </si>
  <si>
    <t>Roof Sheathing</t>
  </si>
  <si>
    <t>Roofer</t>
  </si>
  <si>
    <t>Sheathing</t>
  </si>
  <si>
    <t>Shoring/SOE</t>
  </si>
  <si>
    <t>Siding Contractor</t>
  </si>
  <si>
    <t>Site Concrete</t>
  </si>
  <si>
    <t>Site Electrical</t>
  </si>
  <si>
    <t>Site Furnishing</t>
  </si>
  <si>
    <t>Site Paint</t>
  </si>
  <si>
    <t>Site Signage</t>
  </si>
  <si>
    <t>Skylight</t>
  </si>
  <si>
    <t>Staircases and Railings - Metal</t>
  </si>
  <si>
    <t>Staircases and Railings - Wood</t>
  </si>
  <si>
    <t>Storefront</t>
  </si>
  <si>
    <t>Structural Steel</t>
  </si>
  <si>
    <t>Stucco - EIFS</t>
  </si>
  <si>
    <t>Tiler</t>
  </si>
  <si>
    <t xml:space="preserve">Toilet Partitions </t>
  </si>
  <si>
    <t>Traffic Control</t>
  </si>
  <si>
    <t>Trellis</t>
  </si>
  <si>
    <t>Truss</t>
  </si>
  <si>
    <t>Wall Covering</t>
  </si>
  <si>
    <t>Water Proofing &amp; Damp Proofing</t>
  </si>
  <si>
    <t>Window Installer</t>
  </si>
  <si>
    <t>Wire Shelving</t>
  </si>
  <si>
    <t>ITEM #</t>
  </si>
  <si>
    <t>REF. SHEET</t>
  </si>
  <si>
    <t>DETAIL</t>
  </si>
  <si>
    <t>CSI SECT</t>
  </si>
  <si>
    <t>DESCRIPTION</t>
  </si>
  <si>
    <t>QTY.</t>
  </si>
  <si>
    <t>WASTAGE</t>
  </si>
  <si>
    <t>QTY WITH
WASTAGE</t>
  </si>
  <si>
    <t>UNIT</t>
  </si>
  <si>
    <t>UNIT LABOR HOURS</t>
  </si>
  <si>
    <t>TOTAL LABOR HOURS</t>
  </si>
  <si>
    <t>PER HOUR LABOR RATE</t>
  </si>
  <si>
    <t>TOTAL LABOR COST</t>
  </si>
  <si>
    <t>UNIT MATERIAL COST</t>
  </si>
  <si>
    <t>TOTAL MATERIAL COST</t>
  </si>
  <si>
    <t>ITEM COST</t>
  </si>
  <si>
    <t>TRADE COST</t>
  </si>
  <si>
    <t>UNIT ITEM COST WITH MARKUPS</t>
  </si>
  <si>
    <t>TOTAL ITEM COST WITH MARKUPS</t>
  </si>
  <si>
    <t>Estimate of Materials Quantities and Cost of Construction</t>
  </si>
  <si>
    <t>CLICK HERE TO GO BACK TO COST SUMMARY</t>
  </si>
  <si>
    <t xml:space="preserve">Sub-Total    </t>
  </si>
  <si>
    <t>Material Sales Tax</t>
  </si>
  <si>
    <t>(Adjust the percentage for Material tax as required)</t>
  </si>
  <si>
    <r>
      <t xml:space="preserve">Overhead &amp; Profit / Inflation </t>
    </r>
    <r>
      <rPr>
        <b/>
        <sz val="13"/>
        <color rgb="FFFF0000"/>
        <rFont val="Calibri"/>
        <family val="2"/>
        <scheme val="minor"/>
      </rPr>
      <t>(Material)</t>
    </r>
  </si>
  <si>
    <t>(Adjust the percentage for Overhead &amp; Profit as required)</t>
  </si>
  <si>
    <r>
      <t xml:space="preserve">Overhead &amp; Profit </t>
    </r>
    <r>
      <rPr>
        <b/>
        <sz val="13"/>
        <color rgb="FFFF0000"/>
        <rFont val="Calibri"/>
        <family val="2"/>
        <scheme val="minor"/>
      </rPr>
      <t>(Labor)</t>
    </r>
  </si>
  <si>
    <t>Project and Wage Type:</t>
  </si>
  <si>
    <t>Private (Non-Prevailing wage)</t>
  </si>
  <si>
    <t>(Adjust the percentage for Bond Fee as required)</t>
  </si>
  <si>
    <t>Total Bid</t>
  </si>
  <si>
    <t>Gross Internal Area of Structure (SF)</t>
  </si>
  <si>
    <t>Covered Area of Structure (SF)</t>
  </si>
  <si>
    <t>Material Wastage 1</t>
  </si>
  <si>
    <t xml:space="preserve"> ( for Quantities in Each &amp; LS)</t>
  </si>
  <si>
    <t>No. of Units</t>
  </si>
  <si>
    <t>Material Wastage 2</t>
  </si>
  <si>
    <t xml:space="preserve"> ( for Quantities in LF, SF, SY, CY, LBS, TONS)</t>
  </si>
  <si>
    <t>No. of Floors and Overall Height</t>
  </si>
  <si>
    <t xml:space="preserve">                                  (Changing the wastage percentage here will update the wastage for whole tab)</t>
  </si>
  <si>
    <t>Hardscaping Area (SF)</t>
  </si>
  <si>
    <t>Soft scaping Area (SF)</t>
  </si>
  <si>
    <t>To change hourly rates for any trade please go to "Hourly Rates" Tab</t>
  </si>
  <si>
    <t>UNIT COST WITH MARKUPS</t>
  </si>
  <si>
    <t>TOTAL COST WITH MARKUPS</t>
  </si>
  <si>
    <t>General</t>
  </si>
  <si>
    <t>LS</t>
  </si>
  <si>
    <t>Surveying</t>
  </si>
  <si>
    <t>Concrete Testing</t>
  </si>
  <si>
    <t>Permit Fee</t>
  </si>
  <si>
    <t>Plan Coordination</t>
  </si>
  <si>
    <t>Roof Inspection</t>
  </si>
  <si>
    <t>Tool Rentals</t>
  </si>
  <si>
    <t>Tool Shed</t>
  </si>
  <si>
    <t>Dust Control</t>
  </si>
  <si>
    <t>Ice, Water, Beverages</t>
  </si>
  <si>
    <t>Garbage Dumpster / Trash Containers</t>
  </si>
  <si>
    <t>Mobilization/Demobilization (Temporary Control &amp; Facilities)</t>
  </si>
  <si>
    <t>Job Signs</t>
  </si>
  <si>
    <t>Job Photos</t>
  </si>
  <si>
    <t xml:space="preserve">Signage  </t>
  </si>
  <si>
    <t>Misc.</t>
  </si>
  <si>
    <t>Trash</t>
  </si>
  <si>
    <t>Final Cleaning</t>
  </si>
  <si>
    <t>Punch List Items</t>
  </si>
  <si>
    <t>Bonds, Insurance, Legal</t>
  </si>
  <si>
    <t>Casualty Insurance</t>
  </si>
  <si>
    <t>Medical Insurance</t>
  </si>
  <si>
    <t>General Liability Insurance</t>
  </si>
  <si>
    <t>Project Management &amp; Supervision</t>
  </si>
  <si>
    <t/>
  </si>
  <si>
    <t>SF</t>
  </si>
  <si>
    <t>LF</t>
  </si>
  <si>
    <t>EA</t>
  </si>
  <si>
    <t>CY</t>
  </si>
  <si>
    <t>LBS</t>
  </si>
  <si>
    <t>TONS</t>
  </si>
  <si>
    <t>Mobilization For Steel</t>
  </si>
  <si>
    <t>Excavation</t>
  </si>
  <si>
    <t>Cont. Footing</t>
  </si>
  <si>
    <t>Mobilization For Steel/Reinforcement</t>
  </si>
  <si>
    <t>Utility Pipes</t>
  </si>
  <si>
    <t>Total Lab. Hours =</t>
  </si>
  <si>
    <t>Total Lab. Cost =</t>
  </si>
  <si>
    <t>Total Mat. Cost =</t>
  </si>
  <si>
    <r>
      <t>OVERHEAD &amp; PROF</t>
    </r>
    <r>
      <rPr>
        <b/>
        <sz val="12"/>
        <rFont val="Calibri"/>
        <family val="2"/>
        <scheme val="minor"/>
      </rPr>
      <t>IT / INFLATION</t>
    </r>
    <r>
      <rPr>
        <b/>
        <sz val="12"/>
        <color rgb="FFFF0000"/>
        <rFont val="Calibri"/>
        <family val="2"/>
        <scheme val="minor"/>
      </rPr>
      <t xml:space="preserve"> (Material)</t>
    </r>
  </si>
  <si>
    <r>
      <t>OVERHEAD &amp; PROFIT</t>
    </r>
    <r>
      <rPr>
        <b/>
        <sz val="12"/>
        <color rgb="FFFF0000"/>
        <rFont val="Calibri"/>
        <family val="2"/>
        <scheme val="minor"/>
      </rPr>
      <t xml:space="preserve"> (Labor)</t>
    </r>
  </si>
  <si>
    <t>BOND FEE</t>
  </si>
  <si>
    <r>
      <rPr>
        <b/>
        <sz val="12"/>
        <color rgb="FFFF0000"/>
        <rFont val="Calibri"/>
        <family val="2"/>
        <scheme val="minor"/>
      </rPr>
      <t>Note:</t>
    </r>
    <r>
      <rPr>
        <b/>
        <sz val="12"/>
        <color theme="0" tint="-0.499984740745262"/>
        <rFont val="Calibri"/>
        <family val="2"/>
        <scheme val="minor"/>
      </rPr>
      <t xml:space="preserve"> Adjusting the per hour labor rate in the table below will automatically update the labor pricing for whole project. To bypass the per hour labor rate for a single item, please put the per hour labor rate against that item in column M of relative tab.</t>
    </r>
  </si>
  <si>
    <t>Please don’t edit anything below, without the approval of the Manager (Estimating Department)</t>
  </si>
  <si>
    <t>CSI Div.</t>
  </si>
  <si>
    <t>Sub-Contractor/Trade List</t>
  </si>
  <si>
    <t>Hourly Rates</t>
  </si>
  <si>
    <t>DIV-1</t>
  </si>
  <si>
    <t>Div-28</t>
  </si>
  <si>
    <t>DIV-34</t>
  </si>
  <si>
    <t>DIV-00</t>
  </si>
  <si>
    <t>Z</t>
  </si>
  <si>
    <t>Unit</t>
  </si>
  <si>
    <t>Wastage</t>
  </si>
  <si>
    <t>SY</t>
  </si>
  <si>
    <t>Categories</t>
  </si>
  <si>
    <t>Commercial</t>
  </si>
  <si>
    <t>Residential</t>
  </si>
  <si>
    <t>Code</t>
  </si>
  <si>
    <t>Default1</t>
  </si>
  <si>
    <t>Default2</t>
  </si>
  <si>
    <t>Default3</t>
  </si>
  <si>
    <t>Default4</t>
  </si>
  <si>
    <t>Default5</t>
  </si>
  <si>
    <t>Default6</t>
  </si>
  <si>
    <t>Default7</t>
  </si>
  <si>
    <t>Default8</t>
  </si>
  <si>
    <t>Default9</t>
  </si>
  <si>
    <t>Default10</t>
  </si>
  <si>
    <t>Default11</t>
  </si>
  <si>
    <t>Default12</t>
  </si>
  <si>
    <t>Default13</t>
  </si>
  <si>
    <t>Default14</t>
  </si>
  <si>
    <t>Default15</t>
  </si>
  <si>
    <t>Default16</t>
  </si>
  <si>
    <t>Default17</t>
  </si>
  <si>
    <t>Default18</t>
  </si>
  <si>
    <t>Default19</t>
  </si>
  <si>
    <t>Default20</t>
  </si>
  <si>
    <t>Default21</t>
  </si>
  <si>
    <t>Default22</t>
  </si>
  <si>
    <t>Default23</t>
  </si>
  <si>
    <t>Default24</t>
  </si>
  <si>
    <t>Default25</t>
  </si>
  <si>
    <t>Default26</t>
  </si>
  <si>
    <t>Default27</t>
  </si>
  <si>
    <t>Default28</t>
  </si>
  <si>
    <t>Default29</t>
  </si>
  <si>
    <t>Default30</t>
  </si>
  <si>
    <t>Default31</t>
  </si>
  <si>
    <t>Default32</t>
  </si>
  <si>
    <t>Default33</t>
  </si>
  <si>
    <t>Default34</t>
  </si>
  <si>
    <t>Default35</t>
  </si>
  <si>
    <t>Default36</t>
  </si>
  <si>
    <t>Default37</t>
  </si>
  <si>
    <t>Default38</t>
  </si>
  <si>
    <t>Default39</t>
  </si>
  <si>
    <t>Default40</t>
  </si>
  <si>
    <t>Default41</t>
  </si>
  <si>
    <t>Default42</t>
  </si>
  <si>
    <t>Default43</t>
  </si>
  <si>
    <t>Default44</t>
  </si>
  <si>
    <t>Default45</t>
  </si>
  <si>
    <t>Default46</t>
  </si>
  <si>
    <t>Default47</t>
  </si>
  <si>
    <t>Default48</t>
  </si>
  <si>
    <t>Default49</t>
  </si>
  <si>
    <t>Default50</t>
  </si>
  <si>
    <t>Default51</t>
  </si>
  <si>
    <t>Default52</t>
  </si>
  <si>
    <t>Default53</t>
  </si>
  <si>
    <t>Default54</t>
  </si>
  <si>
    <t>Default55</t>
  </si>
  <si>
    <t>Default56</t>
  </si>
  <si>
    <t>Default57</t>
  </si>
  <si>
    <t>Default58</t>
  </si>
  <si>
    <t>Default59</t>
  </si>
  <si>
    <t>Default60</t>
  </si>
  <si>
    <t>Default61</t>
  </si>
  <si>
    <t>Default62</t>
  </si>
  <si>
    <t>Default63</t>
  </si>
  <si>
    <t>Default64</t>
  </si>
  <si>
    <t>Default65</t>
  </si>
  <si>
    <t>Default66</t>
  </si>
  <si>
    <t>Default67</t>
  </si>
  <si>
    <t>Default68</t>
  </si>
  <si>
    <t>Default69</t>
  </si>
  <si>
    <t>Default70</t>
  </si>
  <si>
    <t>Default71</t>
  </si>
  <si>
    <t>Default72</t>
  </si>
  <si>
    <t>Default73</t>
  </si>
  <si>
    <t>Default74</t>
  </si>
  <si>
    <t>Default75</t>
  </si>
  <si>
    <t>Default76</t>
  </si>
  <si>
    <t>Default77</t>
  </si>
  <si>
    <t>Default78</t>
  </si>
  <si>
    <t>Default79</t>
  </si>
  <si>
    <t>Default80</t>
  </si>
  <si>
    <t>Default81</t>
  </si>
  <si>
    <t>Default82</t>
  </si>
  <si>
    <t>Default83</t>
  </si>
  <si>
    <t>Default84</t>
  </si>
  <si>
    <t>Default85</t>
  </si>
  <si>
    <t>Default86</t>
  </si>
  <si>
    <t>Default87</t>
  </si>
  <si>
    <t>Default88</t>
  </si>
  <si>
    <t>Default89</t>
  </si>
  <si>
    <t>Default90</t>
  </si>
  <si>
    <t>Default91</t>
  </si>
  <si>
    <t>Default92</t>
  </si>
  <si>
    <t>Default93</t>
  </si>
  <si>
    <t>Default94</t>
  </si>
  <si>
    <t>Default95</t>
  </si>
  <si>
    <t>Default96</t>
  </si>
  <si>
    <t>Default97</t>
  </si>
  <si>
    <t>Default98</t>
  </si>
  <si>
    <t>Default99</t>
  </si>
  <si>
    <t>Default100</t>
  </si>
  <si>
    <t>Default101</t>
  </si>
  <si>
    <t>Economy1</t>
  </si>
  <si>
    <t>Economy2</t>
  </si>
  <si>
    <t>Economy3</t>
  </si>
  <si>
    <t>Economy4</t>
  </si>
  <si>
    <t>Economy5</t>
  </si>
  <si>
    <t>Economy6</t>
  </si>
  <si>
    <t>Economy7</t>
  </si>
  <si>
    <t>Economy8</t>
  </si>
  <si>
    <t>Average1</t>
  </si>
  <si>
    <t>Average2</t>
  </si>
  <si>
    <t>Average3</t>
  </si>
  <si>
    <t>Average4</t>
  </si>
  <si>
    <t>Average5</t>
  </si>
  <si>
    <t>Average6</t>
  </si>
  <si>
    <t>Average7</t>
  </si>
  <si>
    <t>Average8</t>
  </si>
  <si>
    <t>Average9</t>
  </si>
  <si>
    <t>Average10</t>
  </si>
  <si>
    <t>Average11</t>
  </si>
  <si>
    <t>Average12</t>
  </si>
  <si>
    <t>Custom1</t>
  </si>
  <si>
    <t>Custom2</t>
  </si>
  <si>
    <t>Custom3</t>
  </si>
  <si>
    <t>Custom4</t>
  </si>
  <si>
    <t>Custom5</t>
  </si>
  <si>
    <t>Custom6</t>
  </si>
  <si>
    <t>Custom7</t>
  </si>
  <si>
    <t>Custom8</t>
  </si>
  <si>
    <t>Custom9</t>
  </si>
  <si>
    <t>Custom10</t>
  </si>
  <si>
    <t>Luxury1</t>
  </si>
  <si>
    <t>Luxury2</t>
  </si>
  <si>
    <t>Luxury3</t>
  </si>
  <si>
    <t>Luxury4</t>
  </si>
  <si>
    <t>Luxury5</t>
  </si>
  <si>
    <t>Luxury6</t>
  </si>
  <si>
    <t>Luxury7</t>
  </si>
  <si>
    <t>Luxury8</t>
  </si>
  <si>
    <t>Luxury9</t>
  </si>
  <si>
    <t>Luxury10</t>
  </si>
  <si>
    <t>Default</t>
  </si>
  <si>
    <t>Economy</t>
  </si>
  <si>
    <t>Apartment 1-3 Story</t>
  </si>
  <si>
    <t>Brick Veneer/Reinforced Concrete</t>
  </si>
  <si>
    <t xml:space="preserve">Brick Veneer &amp; Concrete Block / Bearing Walls </t>
  </si>
  <si>
    <t>Concrete Block/Bearing Walls</t>
  </si>
  <si>
    <t>Face Brick &amp; Concrete Block/Reinforced Concrete</t>
  </si>
  <si>
    <t xml:space="preserve">Concrete Block/Steel Roof Deck </t>
  </si>
  <si>
    <t>Decorative Concrete Block/Bearing walls</t>
  </si>
  <si>
    <t>Decorative Concrete Block/Steel Truss</t>
  </si>
  <si>
    <t>Brick Veneer/Wood Frame</t>
  </si>
  <si>
    <t>Decorative Concrete Block/Steel Joist</t>
  </si>
  <si>
    <t>Decorative Concrete Block/Reinforced Concrete</t>
  </si>
  <si>
    <t>Brick Veneer/ Rigid Steel</t>
  </si>
  <si>
    <t>Brick Veneer/ Reinforeced Concrete</t>
  </si>
  <si>
    <t>Brick Veneer/wood Frame</t>
  </si>
  <si>
    <t>Concrete Block/Bearing Wall</t>
  </si>
  <si>
    <t>Face Brick &amp; Common Brick/Reinforced Concrete</t>
  </si>
  <si>
    <t>Decorative Concrete Block/Precast Concrete</t>
  </si>
  <si>
    <t>Aluminum Clapboard/Wood Frame</t>
  </si>
  <si>
    <t>E.I.F.S. &amp; Concrete Block/Rigid Steel</t>
  </si>
  <si>
    <t>Cast in Place Concrete/Reinforced Concrete</t>
  </si>
  <si>
    <t>Cast in Place Concrete/Steel Joists</t>
  </si>
  <si>
    <t>Cast in Place Concrete/Rigid Steel</t>
  </si>
  <si>
    <t>Brick Veneer/Wood Truss</t>
  </si>
  <si>
    <t>Conrete Block/Steel Joists</t>
  </si>
  <si>
    <t>Face Brick &amp; Concrete Block/Bearing walls</t>
  </si>
  <si>
    <t>Curtain Wall/Reinforced Conrete</t>
  </si>
  <si>
    <t>Brick Veneer/Rigid Steel</t>
  </si>
  <si>
    <t>Aluminum Clapboard/Wood Truss</t>
  </si>
  <si>
    <t>Face Brick &amp; Concrete Block/Steel Joists</t>
  </si>
  <si>
    <t>E.I.F.S./Reinforced Concrete</t>
  </si>
  <si>
    <t>Fiber Cement/Rigid Steel</t>
  </si>
  <si>
    <t>Face Brick/Wood Frame</t>
  </si>
  <si>
    <t xml:space="preserve">Face Brick &amp; Concrete Block/Bearing Walls </t>
  </si>
  <si>
    <t>Concrete Block/Precast Concrete</t>
  </si>
  <si>
    <t>Concrete Block/Reinforced Concrete</t>
  </si>
  <si>
    <t>Brick Veneer - Wood Frame</t>
  </si>
  <si>
    <t>6" Log - Solid Wall</t>
  </si>
  <si>
    <t>Average</t>
  </si>
  <si>
    <t>Apartment 4-7 Story</t>
  </si>
  <si>
    <t>Brick Veneer &amp; Concrete Block / Wood Truss</t>
  </si>
  <si>
    <t>Concrete Block/Rigid Steel</t>
  </si>
  <si>
    <t>Face Brick &amp; Concrete Block/Rigid Steel</t>
  </si>
  <si>
    <t xml:space="preserve">Decorative Concrete Block/Steel Roof Deck </t>
  </si>
  <si>
    <t>Decorative Concrete Block/Rigid Steel</t>
  </si>
  <si>
    <t>Decorative Concrete Block/Wood Arch</t>
  </si>
  <si>
    <t>Stone Ashlar &amp; Cocnrete block/Steel Joist</t>
  </si>
  <si>
    <t>Decorative Concrete Block/Wood Joist</t>
  </si>
  <si>
    <t xml:space="preserve">Brick Veneer/Rigid Steel </t>
  </si>
  <si>
    <t>Brick Veneer/ Reinforced Concrete</t>
  </si>
  <si>
    <t>Curtain Wall/Rigid steel</t>
  </si>
  <si>
    <t>Face Brick &amp; Common Brick/Rigid Steel</t>
  </si>
  <si>
    <t>Decorative Concrete Block/Steel Joists</t>
  </si>
  <si>
    <t>Decorative Concrete Block/Wood Joists</t>
  </si>
  <si>
    <t>Cast in Place Concrete/Wood Joists</t>
  </si>
  <si>
    <t xml:space="preserve">Decorative Concrete Block/Rigid Steel </t>
  </si>
  <si>
    <t>E.I.F.S./Rigid Steel</t>
  </si>
  <si>
    <t>E.I.F.S. &amp; Metal Studs/Steel Roof Deck</t>
  </si>
  <si>
    <t>Curtain Wall/Rigid Steel</t>
  </si>
  <si>
    <t>Metal Panel &amp; Wood Studs/Wood Truss</t>
  </si>
  <si>
    <t>Face Brick &amp; Concrete Block/Wood Joists</t>
  </si>
  <si>
    <t>Stone Veneer/Rigid Steel</t>
  </si>
  <si>
    <t xml:space="preserve">E.I.F.S./Rigid Steel </t>
  </si>
  <si>
    <t>Metal Sandwich Panel/Rigid Steel</t>
  </si>
  <si>
    <t>E.I.F.S. &amp; Metal Studs/Steel Joists</t>
  </si>
  <si>
    <t>Concrete Block/Wood Frame</t>
  </si>
  <si>
    <t>E.I.F.S./Wood Frame</t>
  </si>
  <si>
    <t>E.I.F.S./Steel Joists</t>
  </si>
  <si>
    <t>Painted Concrete Block</t>
  </si>
  <si>
    <t>Solid Masonry</t>
  </si>
  <si>
    <t>8" Log - Solid Wall</t>
  </si>
  <si>
    <t>Solid Brick</t>
  </si>
  <si>
    <t xml:space="preserve">Solid Brick </t>
  </si>
  <si>
    <t>Custom</t>
  </si>
  <si>
    <t>Apartment 8-24 Story</t>
  </si>
  <si>
    <t>E.I.F.S. &amp; Metal studs/Rigid Steel</t>
  </si>
  <si>
    <t xml:space="preserve">Cuttain Wall/Rigid Steel </t>
  </si>
  <si>
    <t>Brick Veneer / Rigid Steel</t>
  </si>
  <si>
    <t>Decorative Concrete Block/Bearing Walls</t>
  </si>
  <si>
    <t>Limestone &amp; Concrete Block/Reinforced Concrete</t>
  </si>
  <si>
    <t xml:space="preserve">Face Brick &amp; Concrete Block/Steel Roof Deck </t>
  </si>
  <si>
    <t>Face Brick &amp; Concrete Block/Steel Truss</t>
  </si>
  <si>
    <t>Stone Ashlar &amp; Cocnrete block/Wood Truss</t>
  </si>
  <si>
    <t>Face Brick &amp; Concrete Block/Steel Joist</t>
  </si>
  <si>
    <t>Cutain Wall/Rigid Steel</t>
  </si>
  <si>
    <t>Curtain wall/ Rigid Steel</t>
  </si>
  <si>
    <t>Face Brick &amp; Concrete Block/Precast Concrete</t>
  </si>
  <si>
    <t>Face Brick &amp; Concrete Block/Wood Truss</t>
  </si>
  <si>
    <t>Concrete Block/Steel Joists</t>
  </si>
  <si>
    <t>Concrete Block/Wood Arch</t>
  </si>
  <si>
    <t>Metal Panel/Rigid Steel</t>
  </si>
  <si>
    <t>Conrete Block/Wood Truss</t>
  </si>
  <si>
    <t>Precast Concrete/Bearing walls</t>
  </si>
  <si>
    <t>Face Brick &amp; Concrete Block/Steel Roof Deck</t>
  </si>
  <si>
    <t>Plywood Siding/Wood Truss</t>
  </si>
  <si>
    <t>Limestone &amp; Concrete Block/Steel Joists</t>
  </si>
  <si>
    <t>Stucco/Reinforced Concrete</t>
  </si>
  <si>
    <t>Precast Concrete/Rigid Steel</t>
  </si>
  <si>
    <t>Face Brick &amp; Metal Studs/Reinforced Concrete</t>
  </si>
  <si>
    <t>Fiber Cement/Wood Frame</t>
  </si>
  <si>
    <t>E.I.F.S./Wood Truss</t>
  </si>
  <si>
    <t>Stucco on Wood Frame</t>
  </si>
  <si>
    <t>Stone Veneer - Wood Frame</t>
  </si>
  <si>
    <t>Solid Stone</t>
  </si>
  <si>
    <t xml:space="preserve">Solid Stone </t>
  </si>
  <si>
    <t>Luxury</t>
  </si>
  <si>
    <t xml:space="preserve">Assisted - Senior Living </t>
  </si>
  <si>
    <t>Brick Veneer / Wood Frame</t>
  </si>
  <si>
    <t>Face Brick &amp; Concrete Block/Bearing Walls</t>
  </si>
  <si>
    <t>Limestone &amp; Concrete Block/Rigid Steel</t>
  </si>
  <si>
    <t xml:space="preserve">Jumbo Brick &amp; Concrete Block/Steel Roof Deck </t>
  </si>
  <si>
    <t>Face Brick &amp; Concrete Block/Rigid Wood Arch</t>
  </si>
  <si>
    <t>Stucco &amp; Cocnrete Block/Steel Joist</t>
  </si>
  <si>
    <t>Face Brick &amp; Concrete Block/Wood Joist</t>
  </si>
  <si>
    <t xml:space="preserve">Fiber Cement/ Rigid Steel </t>
  </si>
  <si>
    <t>Stucco &amp; Concrete Block/Wood Truss</t>
  </si>
  <si>
    <t xml:space="preserve">Metal Panel/Rigid Steel </t>
  </si>
  <si>
    <t>Stucco &amp; Concrete Block/Bearing walls</t>
  </si>
  <si>
    <t>Limestone &amp; Concrete Block/Wood Truss</t>
  </si>
  <si>
    <t>Concrete Block/Wood Joists</t>
  </si>
  <si>
    <t>Face Brick &amp; Glazed Block/Steel Joists</t>
  </si>
  <si>
    <t>Reinforced Concrete/Reinforced Concrete</t>
  </si>
  <si>
    <t>Precast Concrete/Reinforced Concrete</t>
  </si>
  <si>
    <t>Stucco &amp; Concrete Block/Steel Joists</t>
  </si>
  <si>
    <t>Precast Concrete/Wood Truss</t>
  </si>
  <si>
    <t>Stucco &amp; Concrete Block/Precast Concrete</t>
  </si>
  <si>
    <t>Metal Sandwich Panel/Steel Joists</t>
  </si>
  <si>
    <t xml:space="preserve">Precast Concrete/Rigid Steel </t>
  </si>
  <si>
    <t>Wood Clapboard/Wood Truss</t>
  </si>
  <si>
    <t>Limestone &amp; Concrete Block/Wood Joists</t>
  </si>
  <si>
    <t>Wood Clapboard/Wood Frame</t>
  </si>
  <si>
    <t xml:space="preserve">Stucco &amp; Concrete Block/Bearing Walls </t>
  </si>
  <si>
    <t>Face Brick &amp; Metal Studs/Rigid Steel</t>
  </si>
  <si>
    <t xml:space="preserve">Pre-Engineered Metal Building/Rigid Steel </t>
  </si>
  <si>
    <t>Wood Siding - Wood Frame</t>
  </si>
  <si>
    <t>Auditurium</t>
  </si>
  <si>
    <t>Stone Veneer / Wood Frame</t>
  </si>
  <si>
    <t>Vinyl Clapboard / Wood Frame</t>
  </si>
  <si>
    <t>Precast Concrete / Reinforced Concrete</t>
  </si>
  <si>
    <t xml:space="preserve">Precast Concrete/Steel Roof Deck </t>
  </si>
  <si>
    <t>Stone &amp; Concrete Block/Steel Truss</t>
  </si>
  <si>
    <t>Stucco &amp; Cocnrete Block/Wood Truss</t>
  </si>
  <si>
    <t>Stone Veneer/Reinforced Concrete</t>
  </si>
  <si>
    <t>Precast Concrete/Precast Concrete</t>
  </si>
  <si>
    <t>Tilt-up Concrete Panels/Bearing walls</t>
  </si>
  <si>
    <t>Metal Panel / Reinforced Concrete</t>
  </si>
  <si>
    <t>Stone &amp; Concrete Block/ Reinforced Concrete</t>
  </si>
  <si>
    <t>Tilt-up Concrete Panels/Steel Joists</t>
  </si>
  <si>
    <t>Stucco &amp; Concrete Block/Reinforced Concrete</t>
  </si>
  <si>
    <t>Limestone &amp; Concrete Block/Bearing walls</t>
  </si>
  <si>
    <t>Limestone &amp; Concrete Block/Precast Concrete</t>
  </si>
  <si>
    <t>Wood Board and Batten/Wood Frame</t>
  </si>
  <si>
    <t>Stucco &amp; Concrete Block/Rigid Steel</t>
  </si>
  <si>
    <t>Precast Concrete / Precast Concrete</t>
  </si>
  <si>
    <t>Face Brick &amp; Concrete Block/Wood Arch</t>
  </si>
  <si>
    <t>Precast Concrete/Bearing Walls</t>
  </si>
  <si>
    <t>Metal Panel/Reinforced Concrete</t>
  </si>
  <si>
    <t>Stone Veneer/Wood Frame</t>
  </si>
  <si>
    <t>Stucco &amp; Concrete Block/Wood Joists</t>
  </si>
  <si>
    <t>Precast Concrete/Steel Joists</t>
  </si>
  <si>
    <t>Tilt-up  Concrete Panels/Steel Roof Deck</t>
  </si>
  <si>
    <t>Limestone &amp; Concrete Block/Bearing Walls</t>
  </si>
  <si>
    <t>Metal Panel &amp; Metal Studs/Rigid Steel</t>
  </si>
  <si>
    <t>Metal Sandwich Panel/Wood Truss</t>
  </si>
  <si>
    <t>Stone &amp; Concrete Block/Steel Joists</t>
  </si>
  <si>
    <t>Stone &amp; Concrete Block/Reinforced Concrete</t>
  </si>
  <si>
    <t>Bank</t>
  </si>
  <si>
    <t>Stucco &amp; Concrete Block/Reinforced concrete</t>
  </si>
  <si>
    <t>Stucco/Reinforced concrete</t>
  </si>
  <si>
    <t>Wood ClapBoard / Wood Frame</t>
  </si>
  <si>
    <t xml:space="preserve">Precast Concrete / Rigid steel </t>
  </si>
  <si>
    <t xml:space="preserve">Stucco &amp; Concrete Block/Steel Roof Deck </t>
  </si>
  <si>
    <t>Stone &amp; Concrete Block/Rigid Wood Arch</t>
  </si>
  <si>
    <t>Wood Shingles/wood Frame</t>
  </si>
  <si>
    <t>Tilt-up Concrete Panels/Rigid Steel</t>
  </si>
  <si>
    <t>Stone Veneer/ Wood Frame</t>
  </si>
  <si>
    <t xml:space="preserve">Stone &amp; Concrete Block/ Rigid steel </t>
  </si>
  <si>
    <t>Wood Clapboard/Wood Frame.</t>
  </si>
  <si>
    <t xml:space="preserve">Tilt-up Concrete Panels/Rigid Steel </t>
  </si>
  <si>
    <t>Stucco/Wood Frame</t>
  </si>
  <si>
    <t>Vinyl Clapboard/Wood Frame</t>
  </si>
  <si>
    <t>Wood Shingles/Wood Frame</t>
  </si>
  <si>
    <t>Tilt-up  Concrete Panels/Rigid Steel</t>
  </si>
  <si>
    <t>Tilt-up Concrete Panels/Reinforced Concrete</t>
  </si>
  <si>
    <t>Stone &amp; Concrete Block/Wood Joists</t>
  </si>
  <si>
    <t>Stone &amp; Concrete Block/Rigid Steel</t>
  </si>
  <si>
    <t>Bank (Green)</t>
  </si>
  <si>
    <t>Bowling Alley</t>
  </si>
  <si>
    <t xml:space="preserve">Bus Terminal </t>
  </si>
  <si>
    <t xml:space="preserve">Car Wash </t>
  </si>
  <si>
    <t>Church</t>
  </si>
  <si>
    <t>Club, Country</t>
  </si>
  <si>
    <t>Cub, Social</t>
  </si>
  <si>
    <t>College, Classroom, 2-3 Story</t>
  </si>
  <si>
    <t>College, Dormitory, 2-3Story</t>
  </si>
  <si>
    <t>College, Classroom, 2-3 Story (Green)</t>
  </si>
  <si>
    <t>College, Dormitory, 2-3Story (Green)</t>
  </si>
  <si>
    <t>College, Dormitory, 4-8Story (Green)</t>
  </si>
  <si>
    <t>College, Dormitory, 4-8Story</t>
  </si>
  <si>
    <t>College, Laboratory</t>
  </si>
  <si>
    <t>College, Laboratory (Green)</t>
  </si>
  <si>
    <t>College, Student Union</t>
  </si>
  <si>
    <t>Community Center</t>
  </si>
  <si>
    <t>Computer Data Center</t>
  </si>
  <si>
    <t>Courthouse, 1 story</t>
  </si>
  <si>
    <t>Courthouse, 2-3story</t>
  </si>
  <si>
    <t>Day care center</t>
  </si>
  <si>
    <t>Factory, 1 Story</t>
  </si>
  <si>
    <t>Factory, 3 Story</t>
  </si>
  <si>
    <t>Fire Station Story 1</t>
  </si>
  <si>
    <t>Fire Station Story 1 (Green)</t>
  </si>
  <si>
    <t>Fire Station Story 2</t>
  </si>
  <si>
    <t>Fire Station Story 2 (Green)</t>
  </si>
  <si>
    <t>Fraternity/Sorority House</t>
  </si>
  <si>
    <t>Funeral Home</t>
  </si>
  <si>
    <t>Funeral Home (Green)</t>
  </si>
  <si>
    <t>Garage, Auto Sales</t>
  </si>
  <si>
    <t>Garage, Parking</t>
  </si>
  <si>
    <t>Garage, Repair</t>
  </si>
  <si>
    <t>Garage,Service Station</t>
  </si>
  <si>
    <t>Garage, Underground Parking</t>
  </si>
  <si>
    <t>Gymnasium</t>
  </si>
  <si>
    <t>Hangar, Aircraft</t>
  </si>
  <si>
    <t>Hospital 2-3 Story</t>
  </si>
  <si>
    <t>Hospital 4-8 Story</t>
  </si>
  <si>
    <t>Hotel, 4-7 Story</t>
  </si>
  <si>
    <t>Hotel, 8-24 Story</t>
  </si>
  <si>
    <t>Jail</t>
  </si>
  <si>
    <t>Laundromant</t>
  </si>
  <si>
    <t>Library</t>
  </si>
  <si>
    <t>Library (Green)</t>
  </si>
  <si>
    <t>Medical Office, 1 Story</t>
  </si>
  <si>
    <t>Medical Office, 1 Story (Green)</t>
  </si>
  <si>
    <t>Medical Office, 2 Story</t>
  </si>
  <si>
    <t>Medical Office, 2 Story (Green)</t>
  </si>
  <si>
    <t>Motel, 1 Story</t>
  </si>
  <si>
    <t>Motel, 1 Story (Green)</t>
  </si>
  <si>
    <t>Motel, 2-3 Story</t>
  </si>
  <si>
    <t>Motel, 2-3 Story (Green)</t>
  </si>
  <si>
    <t>Movie Theater</t>
  </si>
  <si>
    <t>Nursing Home</t>
  </si>
  <si>
    <t>Office, 1 Story</t>
  </si>
  <si>
    <t>Office, 1 Story (Green)</t>
  </si>
  <si>
    <t>Office, 11-20 Story</t>
  </si>
  <si>
    <t>Office, 11-20 Story (Green)</t>
  </si>
  <si>
    <t>Office, 2-4 Story</t>
  </si>
  <si>
    <t>Office, 2-4 Story (Green)</t>
  </si>
  <si>
    <t>Office, 5-10 Story</t>
  </si>
  <si>
    <t>Office, 5-10 Story (Green)</t>
  </si>
  <si>
    <t>Outpatient Surgery Center</t>
  </si>
  <si>
    <t>Police Station</t>
  </si>
  <si>
    <t>Police Station (Green)</t>
  </si>
  <si>
    <t xml:space="preserve">Post Frame Barn </t>
  </si>
  <si>
    <t>Post Office</t>
  </si>
  <si>
    <t>Racquetball court</t>
  </si>
  <si>
    <t>Religious Education</t>
  </si>
  <si>
    <t>Resturant</t>
  </si>
  <si>
    <t>Resturant (Green)</t>
  </si>
  <si>
    <t xml:space="preserve">Resturant, Fast Food </t>
  </si>
  <si>
    <t>School, Elementary</t>
  </si>
  <si>
    <t>School, Elementary (Green)</t>
  </si>
  <si>
    <t>School, High 2-3 Story</t>
  </si>
  <si>
    <t>School, High 2-3 Story (Green)</t>
  </si>
  <si>
    <t>School, Jr High, 2-3 Story</t>
  </si>
  <si>
    <t>School, Jr High, 2-3 Story (Green)</t>
  </si>
  <si>
    <t>School, Vocational</t>
  </si>
  <si>
    <t>School, Vocational (Green)</t>
  </si>
  <si>
    <t>Store, Convenience</t>
  </si>
  <si>
    <t>Store Department, 1 Story</t>
  </si>
  <si>
    <t>Store Department, 3 Story</t>
  </si>
  <si>
    <t>Store, Retail</t>
  </si>
  <si>
    <t>Supermarket</t>
  </si>
  <si>
    <t>Supermarket (Green)</t>
  </si>
  <si>
    <t>Swimming Pool, Enclosed</t>
  </si>
  <si>
    <t>Telephone Exchange</t>
  </si>
  <si>
    <t>Town Hall, 1 Story</t>
  </si>
  <si>
    <t>Town Hall, 2-3 Story</t>
  </si>
  <si>
    <t>Veterinary Hospital</t>
  </si>
  <si>
    <t>Warehouse</t>
  </si>
  <si>
    <t>Warehouse (Green)</t>
  </si>
  <si>
    <t>Warehouse Self Storage</t>
  </si>
  <si>
    <t>Economy 1 Story</t>
  </si>
  <si>
    <t>Economy 1 Story wings &amp; ells</t>
  </si>
  <si>
    <t>Economy 1 - 1/2 Story</t>
  </si>
  <si>
    <t>Economy 1 - 1/2 Story wings &amp; ells</t>
  </si>
  <si>
    <t>Economy 2 Story</t>
  </si>
  <si>
    <t>Economy 2 Story wings &amp; ells</t>
  </si>
  <si>
    <t>Economy Bi level</t>
  </si>
  <si>
    <t>Economy Tri level</t>
  </si>
  <si>
    <t>Average Story 1</t>
  </si>
  <si>
    <t>Average 1 Story wings &amp; ells</t>
  </si>
  <si>
    <t>Average 1 - 1/2 Story</t>
  </si>
  <si>
    <t>Average 1 - 1/2 Story wings &amp; ells</t>
  </si>
  <si>
    <t>Average 2 Story</t>
  </si>
  <si>
    <t>Average 2 Story wings &amp; ells</t>
  </si>
  <si>
    <t>Average 2 - 1/2 Story</t>
  </si>
  <si>
    <t>Average 3 Story</t>
  </si>
  <si>
    <t>Average Bi level</t>
  </si>
  <si>
    <t>Average Tri level</t>
  </si>
  <si>
    <t>Solid Wall 1 Story</t>
  </si>
  <si>
    <t>Solid Wall 2 Story</t>
  </si>
  <si>
    <t>Custom Story 1</t>
  </si>
  <si>
    <t>Custom 1 Story wings &amp; ells</t>
  </si>
  <si>
    <t>Custom 1 - 1/2 Story</t>
  </si>
  <si>
    <t>Custom 1 - 1/2 Story wings &amp; ells</t>
  </si>
  <si>
    <t>Custom 2 Story</t>
  </si>
  <si>
    <t>Custom 2 Story wings &amp; ells</t>
  </si>
  <si>
    <t>Custom 2 - 1/2 Story</t>
  </si>
  <si>
    <t>Custom 3 Story</t>
  </si>
  <si>
    <t>Custom Bi level</t>
  </si>
  <si>
    <t>Custom Tri level</t>
  </si>
  <si>
    <t>Luxury Story 1</t>
  </si>
  <si>
    <t>Luxury 1 Story wings &amp; ells</t>
  </si>
  <si>
    <t>Luxury 1 - 1/2 Story</t>
  </si>
  <si>
    <t>Luxury 1 - 1/2 Story wings &amp; ells</t>
  </si>
  <si>
    <t>Luxury 2 Story</t>
  </si>
  <si>
    <t>Luxury 2 Story wings &amp; ells</t>
  </si>
  <si>
    <t>Luxury 2 - 1/2 Story</t>
  </si>
  <si>
    <t>Luxury 3 Story</t>
  </si>
  <si>
    <t>Luxury Bi level</t>
  </si>
  <si>
    <t>Luxury Tri level</t>
  </si>
  <si>
    <t>Formwork</t>
  </si>
  <si>
    <t>RW-1</t>
  </si>
  <si>
    <t>PLN-1</t>
  </si>
  <si>
    <t>Retaining Wall</t>
  </si>
  <si>
    <t>Wall Cap</t>
  </si>
  <si>
    <t>Bluestone  Cap</t>
  </si>
  <si>
    <t>Thin Stone Veneer</t>
  </si>
  <si>
    <t>Hauling</t>
  </si>
  <si>
    <t>Backfilling</t>
  </si>
  <si>
    <t>Concrete 3000 Psi</t>
  </si>
  <si>
    <t xml:space="preserve">Replacement Of The Lexington Avenue Retaining Wall </t>
  </si>
  <si>
    <t>City OF Norwalk 11, 19 &amp; 21 Snowden Street</t>
  </si>
  <si>
    <t xml:space="preserve">Filter Fabric </t>
  </si>
  <si>
    <t>Filter Fabric</t>
  </si>
  <si>
    <t>6'-4" High Pre-Cast Segmental Wall</t>
  </si>
  <si>
    <t>Bid Alternate</t>
  </si>
  <si>
    <t>Retaining Wall Replacement</t>
  </si>
  <si>
    <t>Plan Design And Permitting</t>
  </si>
  <si>
    <t>Architecture (Assumed By Owner)</t>
  </si>
  <si>
    <t>Engineering  (Assumed By Owner)</t>
  </si>
  <si>
    <t>Soils Report  (Assumed By Owner)</t>
  </si>
  <si>
    <t>Geological Report  (Assumed By Owner)</t>
  </si>
  <si>
    <t>Permits (Based On Interior Finish Area)</t>
  </si>
  <si>
    <t xml:space="preserve">Blueprints (?? Pages) </t>
  </si>
  <si>
    <t>Utilities During Construction (Based On Interior Finish Area)</t>
  </si>
  <si>
    <t>Port-O-Potty (Based On Interior Finish Area)</t>
  </si>
  <si>
    <t>Temporary Power (Based On Interior Finish Area)</t>
  </si>
  <si>
    <t>Equipment And Tools</t>
  </si>
  <si>
    <t>Signage And Promotion</t>
  </si>
  <si>
    <t>Promotion/Entertainment</t>
  </si>
  <si>
    <t>Cleaning And Final</t>
  </si>
  <si>
    <t>Window Washing (Rough # Of Windows )</t>
  </si>
  <si>
    <t>4'-6" X 1'-0" Concrete Footing W/ 
-#5 @12" O.C &amp; (4) #5 Bars Top And (2) #5 Bars Bottom, 
#6 Dowels At 24" O.C (2'-6" L)</t>
  </si>
  <si>
    <t>#5 Reinforcement=1159 Lf</t>
  </si>
  <si>
    <t>#6 Reinforcement=275 Lf</t>
  </si>
  <si>
    <t>5'-0" X 1'-0" Concrete Footing W/ 
-#5 @12" O.C &amp; (4) #5 Bars Top And (2) #5 Bars Bottom, 
#6 Dowels At 24" O.C (2'-6" L)</t>
  </si>
  <si>
    <t>#5 Reinforcement= 445 Lf</t>
  </si>
  <si>
    <t>#6 Reinforcement= 104 Lf</t>
  </si>
  <si>
    <t>12"  Thick X 6'-4" High Concrete Retaining Wall  W/
-#5 @12" O.C Vertical &amp; (6) #5 Bars Horizontal And #5 @12"  O.C
Dowels (4'-2")</t>
  </si>
  <si>
    <t xml:space="preserve">12" Column Of 3/4" Crushed Stone </t>
  </si>
  <si>
    <t>#5 Reinforcement= 1908 Lf</t>
  </si>
  <si>
    <t>12"  Thick X 8'-6" High Concrete Retaining Wall  
W/#5 @12" O.C Vertical &amp; (8)#5 Bars Horizontal And #5 @12"  O.C Dowels (4'-2")</t>
  </si>
  <si>
    <t>#5 Reinforcement= 840 Lf</t>
  </si>
  <si>
    <t>4" Dia Perforated Pvc Drain</t>
  </si>
  <si>
    <t xml:space="preserve">Precast Segmental Wall
8" X 12" X 16"  Block  Assumed </t>
  </si>
  <si>
    <t xml:space="preserve">8'-6" High Pre-Cast Segmental Wall 
8" X 12" X 16"  Block  Assumed </t>
  </si>
  <si>
    <t>Precast Segmental Wall</t>
  </si>
  <si>
    <t>Note: (Alternate 1 Bid – Precast Block Segmental
 Retaining Wall (Item 0506027A) Detail Is Not Given</t>
  </si>
  <si>
    <t>Lexington Avenue, Norwalk, CT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</si>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</sst>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5">
    <numFmt numFmtId="164" formatCode="_(&quot;$&quot;* #,##0_);_(&quot;$&quot;* \(#,##0\);_(&quot;$&quot;* &quot;-&quot;_);_(@_)"/>
    <numFmt numFmtId="165" formatCode="_(* #,##0_);_(* \(#,##0\);_(* &quot;-&quot;_);_(@_)"/>
    <numFmt numFmtId="166" formatCode="_(&quot;$&quot;* #,##0.00_);_(&quot;$&quot;* \(#,##0.00\);_(&quot;$&quot;* &quot;-&quot;??_);_(@_)"/>
    <numFmt numFmtId="167" formatCode="_(* #,##0.00_);_(* \(#,##0.00\);_(* &quot;-&quot;??_);_(@_)"/>
    <numFmt numFmtId="168" formatCode="&quot;$&quot;#,##0"/>
    <numFmt numFmtId="169" formatCode="_(&quot;$&quot;* #,##0_);_(&quot;$&quot;* \(#,##0\);_(&quot;$&quot;* &quot;-&quot;??_);_(@_)"/>
    <numFmt numFmtId="170" formatCode="_(&quot;$&quot;* #,##0_);_(&quot;$&quot;* \(#,##0\);_(&quot;$&quot;* &quot;-&quot;?_);_(@_)"/>
    <numFmt numFmtId="171" formatCode="_(&quot;$&quot;* #,##0.0_);_(&quot;$&quot;* \(#,##0.0\);_(&quot;$&quot;* &quot;-&quot;??_);_(@_)"/>
    <numFmt numFmtId="172" formatCode="_-&quot;$&quot;* #,##0_-;\-&quot;$&quot;* #,##0_-;_-&quot;$&quot;* &quot;-&quot;??_-;_-@_-"/>
    <numFmt numFmtId="173" formatCode="_(* #,##0_);_(* \(#,##0\);_(* &quot;-&quot;??_);_(@_)"/>
    <numFmt numFmtId="174" formatCode="0.000"/>
    <numFmt numFmtId="175" formatCode="0.0%"/>
    <numFmt numFmtId="176" formatCode="0.000%"/>
    <numFmt numFmtId="177" formatCode="&quot;$&quot;#,##0.00"/>
    <numFmt numFmtId="178" formatCode="_-[$$-409]* #,##0.00_ ;_-[$$-409]* \-#,##0.00\ ;_-[$$-409]* &quot;-&quot;??_ ;_-@_ "/>
  </numFmts>
  <fonts count="93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indexed="9"/>
      <name val="Calibri"/>
      <family val="2"/>
      <scheme val="minor"/>
    </font>
    <font>
      <u/>
      <sz val="12"/>
      <name val="Calibri"/>
      <family val="2"/>
      <scheme val="minor"/>
    </font>
    <font>
      <b/>
      <sz val="12"/>
      <color indexed="63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Arial"/>
      <family val="2"/>
    </font>
    <font>
      <b/>
      <sz val="14"/>
      <color rgb="FFFF0000"/>
      <name val="Calibri"/>
      <family val="2"/>
      <scheme val="minor"/>
    </font>
    <font>
      <b/>
      <sz val="2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8"/>
      <name val="Arial"/>
      <family val="2"/>
    </font>
    <font>
      <b/>
      <sz val="13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sz val="12"/>
      <color rgb="FF333333"/>
      <name val="Calibri"/>
      <family val="2"/>
      <scheme val="minor"/>
    </font>
    <font>
      <u/>
      <sz val="12"/>
      <color theme="10"/>
      <name val="Arial"/>
      <family val="2"/>
    </font>
    <font>
      <b/>
      <sz val="12"/>
      <color theme="0" tint="-0.499984740745262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b/>
      <sz val="12"/>
      <color indexed="62"/>
      <name val="Calibri"/>
      <family val="2"/>
      <scheme val="minor"/>
    </font>
    <font>
      <b/>
      <sz val="19"/>
      <color theme="0"/>
      <name val="Calibri"/>
      <family val="2"/>
      <scheme val="minor"/>
    </font>
    <font>
      <b/>
      <u/>
      <sz val="12"/>
      <color theme="0" tint="-0.499984740745262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6"/>
      <color rgb="FF0000FF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8"/>
      <color rgb="FFEC6B0A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3"/>
      <name val="Calibri"/>
      <family val="2"/>
      <scheme val="minor"/>
    </font>
    <font>
      <b/>
      <sz val="16"/>
      <name val="Calibri"/>
      <family val="2"/>
      <scheme val="minor"/>
    </font>
    <font>
      <u/>
      <sz val="12"/>
      <color rgb="FFFF0000"/>
      <name val="Calibri"/>
      <family val="2"/>
      <scheme val="minor"/>
    </font>
    <font>
      <b/>
      <sz val="22"/>
      <name val="Calibri"/>
      <family val="2"/>
      <scheme val="minor"/>
    </font>
    <font>
      <b/>
      <sz val="28"/>
      <color theme="2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b/>
      <sz val="16"/>
      <color theme="8" tint="-0.249977111117893"/>
      <name val="Calibri"/>
      <family val="2"/>
      <scheme val="minor"/>
    </font>
    <font>
      <b/>
      <sz val="16"/>
      <color theme="9" tint="-0.249977111117893"/>
      <name val="Calibri"/>
      <family val="2"/>
      <scheme val="minor"/>
    </font>
    <font>
      <b/>
      <sz val="16"/>
      <color theme="7"/>
      <name val="Calibri"/>
      <family val="2"/>
      <scheme val="minor"/>
    </font>
    <font>
      <b/>
      <sz val="16"/>
      <color theme="6"/>
      <name val="Calibri"/>
      <family val="2"/>
      <scheme val="minor"/>
    </font>
    <font>
      <b/>
      <sz val="16"/>
      <color theme="5"/>
      <name val="Calibri"/>
      <family val="2"/>
      <scheme val="minor"/>
    </font>
    <font>
      <b/>
      <sz val="16"/>
      <color theme="0" tint="-0.499984740745262"/>
      <name val="Calibri"/>
      <family val="2"/>
      <scheme val="minor"/>
    </font>
    <font>
      <b/>
      <sz val="14"/>
      <color theme="0" tint="-0.499984740745262"/>
      <name val="Calibri"/>
      <family val="2"/>
      <scheme val="minor"/>
    </font>
    <font>
      <sz val="14"/>
      <color theme="0" tint="-0.499984740745262"/>
      <name val="Calibri"/>
      <family val="2"/>
      <scheme val="minor"/>
    </font>
    <font>
      <b/>
      <sz val="16"/>
      <color rgb="FFEC6B0A"/>
      <name val="Calibri"/>
      <family val="2"/>
      <scheme val="minor"/>
    </font>
    <font>
      <sz val="18"/>
      <name val="Calibri"/>
      <family val="2"/>
      <scheme val="minor"/>
    </font>
    <font>
      <b/>
      <i/>
      <u val="double"/>
      <sz val="18"/>
      <color rgb="FFFF0000"/>
      <name val="Calibri"/>
      <family val="2"/>
      <scheme val="minor"/>
    </font>
    <font>
      <u val="double"/>
      <sz val="18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2"/>
      <color rgb="FF0070C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0000FF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B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C6B0A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ACB9CA"/>
        <bgColor indexed="64"/>
      </patternFill>
    </fill>
    <fill>
      <patternFill patternType="solid">
        <fgColor rgb="FF002060"/>
        <bgColor indexed="64"/>
      </patternFill>
    </fill>
  </fills>
  <borders count="7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3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rgb="FFB2B2B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thin">
        <color rgb="FFB2B2B2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/>
      <diagonal/>
    </border>
    <border>
      <left style="thin">
        <color indexed="22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double">
        <color indexed="62"/>
      </bottom>
      <diagonal/>
    </border>
    <border>
      <left/>
      <right style="thin">
        <color indexed="64"/>
      </right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double">
        <color indexed="62"/>
      </top>
      <bottom style="thin">
        <color indexed="64"/>
      </bottom>
      <diagonal/>
    </border>
    <border>
      <left/>
      <right/>
      <top style="double">
        <color indexed="62"/>
      </top>
      <bottom style="thin">
        <color indexed="64"/>
      </bottom>
      <diagonal/>
    </border>
    <border>
      <left/>
      <right/>
      <top style="thin">
        <color indexed="62"/>
      </top>
      <bottom style="thin">
        <color indexed="64"/>
      </bottom>
      <diagonal/>
    </border>
    <border>
      <left/>
      <right style="thin">
        <color indexed="64"/>
      </right>
      <top style="thin">
        <color indexed="62"/>
      </top>
      <bottom style="thin">
        <color indexed="64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22"/>
      </top>
      <bottom/>
      <diagonal/>
    </border>
    <border>
      <left style="thin">
        <color indexed="64"/>
      </left>
      <right/>
      <top/>
      <bottom style="double">
        <color indexed="62"/>
      </bottom>
      <diagonal/>
    </border>
    <border>
      <left style="thin">
        <color indexed="64"/>
      </left>
      <right/>
      <top style="thin">
        <color indexed="22"/>
      </top>
      <bottom/>
      <diagonal/>
    </border>
    <border>
      <left style="thin">
        <color indexed="64"/>
      </left>
      <right style="thin">
        <color indexed="63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00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4" fillId="3" borderId="0" applyNumberFormat="0" applyBorder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  <xf numFmtId="0" fontId="19" fillId="0" borderId="3" applyNumberFormat="0" applyFill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1" fillId="0" borderId="0" applyNumberFormat="0" applyFill="0" applyBorder="0" applyAlignment="0" applyProtection="0"/>
    <xf numFmtId="0" fontId="22" fillId="7" borderId="1" applyNumberFormat="0" applyAlignment="0" applyProtection="0"/>
    <xf numFmtId="0" fontId="23" fillId="0" borderId="6" applyNumberFormat="0" applyFill="0" applyAlignment="0" applyProtection="0"/>
    <xf numFmtId="0" fontId="24" fillId="22" borderId="0" applyNumberFormat="0" applyBorder="0" applyAlignment="0" applyProtection="0"/>
    <xf numFmtId="0" fontId="11" fillId="0" borderId="0"/>
    <xf numFmtId="0" fontId="11" fillId="23" borderId="7" applyNumberFormat="0" applyFont="0" applyAlignment="0" applyProtection="0"/>
    <xf numFmtId="0" fontId="25" fillId="20" borderId="8" applyNumberFormat="0" applyAlignment="0" applyProtection="0"/>
    <xf numFmtId="0" fontId="26" fillId="0" borderId="0" applyNumberFormat="0" applyFill="0" applyBorder="0" applyAlignment="0" applyProtection="0"/>
    <xf numFmtId="0" fontId="27" fillId="0" borderId="9" applyNumberFormat="0" applyFill="0" applyAlignment="0" applyProtection="0"/>
    <xf numFmtId="0" fontId="28" fillId="0" borderId="0" applyNumberFormat="0" applyFill="0" applyBorder="0" applyAlignment="0" applyProtection="0"/>
    <xf numFmtId="0" fontId="10" fillId="0" borderId="0"/>
    <xf numFmtId="0" fontId="29" fillId="0" borderId="0"/>
    <xf numFmtId="0" fontId="11" fillId="0" borderId="0"/>
    <xf numFmtId="167" fontId="29" fillId="0" borderId="0" applyFont="0" applyFill="0" applyBorder="0" applyAlignment="0" applyProtection="0"/>
    <xf numFmtId="0" fontId="30" fillId="0" borderId="0"/>
    <xf numFmtId="167" fontId="11" fillId="0" borderId="0" applyFont="0" applyFill="0" applyBorder="0" applyAlignment="0" applyProtection="0"/>
    <xf numFmtId="0" fontId="11" fillId="0" borderId="0"/>
    <xf numFmtId="166" fontId="30" fillId="0" borderId="0" applyFont="0" applyFill="0" applyBorder="0" applyAlignment="0" applyProtection="0"/>
    <xf numFmtId="0" fontId="9" fillId="0" borderId="0"/>
    <xf numFmtId="0" fontId="11" fillId="0" borderId="0"/>
    <xf numFmtId="0" fontId="9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166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167" fontId="42" fillId="0" borderId="0" applyFont="0" applyFill="0" applyBorder="0" applyAlignment="0" applyProtection="0"/>
    <xf numFmtId="0" fontId="11" fillId="23" borderId="13" applyNumberFormat="0" applyFont="0" applyAlignment="0" applyProtection="0"/>
    <xf numFmtId="0" fontId="5" fillId="0" borderId="0"/>
    <xf numFmtId="0" fontId="11" fillId="23" borderId="13" applyNumberFormat="0" applyFont="0" applyAlignment="0" applyProtection="0"/>
    <xf numFmtId="0" fontId="11" fillId="23" borderId="13" applyNumberFormat="0" applyFont="0" applyAlignment="0" applyProtection="0"/>
    <xf numFmtId="0" fontId="11" fillId="23" borderId="13" applyNumberFormat="0" applyFont="0" applyAlignment="0" applyProtection="0"/>
    <xf numFmtId="0" fontId="4" fillId="0" borderId="0"/>
    <xf numFmtId="0" fontId="11" fillId="23" borderId="23" applyNumberFormat="0" applyFont="0" applyAlignment="0" applyProtection="0"/>
    <xf numFmtId="0" fontId="11" fillId="23" borderId="23" applyNumberFormat="0" applyFont="0" applyAlignment="0" applyProtection="0"/>
    <xf numFmtId="0" fontId="11" fillId="23" borderId="23" applyNumberFormat="0" applyFont="0" applyAlignment="0" applyProtection="0"/>
    <xf numFmtId="0" fontId="11" fillId="23" borderId="23" applyNumberFormat="0" applyFont="0" applyAlignment="0" applyProtection="0"/>
    <xf numFmtId="0" fontId="11" fillId="23" borderId="23" applyNumberFormat="0" applyFont="0" applyAlignment="0" applyProtection="0"/>
    <xf numFmtId="166" fontId="48" fillId="0" borderId="0" applyFont="0" applyFill="0" applyBorder="0" applyAlignment="0" applyProtection="0"/>
    <xf numFmtId="9" fontId="48" fillId="0" borderId="0" applyFont="0" applyFill="0" applyBorder="0" applyAlignment="0" applyProtection="0"/>
    <xf numFmtId="0" fontId="25" fillId="20" borderId="25" applyNumberFormat="0" applyAlignment="0" applyProtection="0"/>
    <xf numFmtId="166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23" borderId="30" applyNumberFormat="0" applyFont="0" applyAlignment="0" applyProtection="0"/>
    <xf numFmtId="0" fontId="11" fillId="23" borderId="30" applyNumberFormat="0" applyFont="0" applyAlignment="0" applyProtection="0"/>
    <xf numFmtId="0" fontId="11" fillId="23" borderId="30" applyNumberFormat="0" applyFont="0" applyAlignment="0" applyProtection="0"/>
    <xf numFmtId="0" fontId="25" fillId="20" borderId="31" applyNumberFormat="0" applyAlignment="0" applyProtection="0"/>
    <xf numFmtId="0" fontId="22" fillId="7" borderId="32" applyNumberFormat="0" applyAlignment="0" applyProtection="0"/>
    <xf numFmtId="0" fontId="25" fillId="20" borderId="31" applyNumberFormat="0" applyAlignment="0" applyProtection="0"/>
    <xf numFmtId="0" fontId="27" fillId="0" borderId="33" applyNumberFormat="0" applyFill="0" applyAlignment="0" applyProtection="0"/>
    <xf numFmtId="0" fontId="11" fillId="23" borderId="35" applyNumberFormat="0" applyFont="0" applyAlignment="0" applyProtection="0"/>
    <xf numFmtId="0" fontId="11" fillId="23" borderId="35" applyNumberFormat="0" applyFont="0" applyAlignment="0" applyProtection="0"/>
    <xf numFmtId="0" fontId="25" fillId="20" borderId="36" applyNumberFormat="0" applyAlignment="0" applyProtection="0"/>
    <xf numFmtId="0" fontId="11" fillId="23" borderId="35" applyNumberFormat="0" applyFont="0" applyAlignment="0" applyProtection="0"/>
    <xf numFmtId="0" fontId="22" fillId="7" borderId="37" applyNumberFormat="0" applyAlignment="0" applyProtection="0"/>
    <xf numFmtId="0" fontId="53" fillId="0" borderId="0" applyNumberFormat="0" applyFill="0" applyBorder="0" applyAlignment="0" applyProtection="0"/>
    <xf numFmtId="0" fontId="11" fillId="23" borderId="40" applyNumberFormat="0" applyFont="0" applyAlignment="0" applyProtection="0"/>
    <xf numFmtId="0" fontId="11" fillId="23" borderId="40" applyNumberFormat="0" applyFont="0" applyAlignment="0" applyProtection="0"/>
    <xf numFmtId="0" fontId="11" fillId="23" borderId="40" applyNumberFormat="0" applyFont="0" applyAlignment="0" applyProtection="0"/>
    <xf numFmtId="0" fontId="3" fillId="0" borderId="0"/>
    <xf numFmtId="0" fontId="2" fillId="0" borderId="0"/>
    <xf numFmtId="0" fontId="11" fillId="23" borderId="40" applyNumberFormat="0" applyFont="0" applyAlignment="0" applyProtection="0"/>
    <xf numFmtId="0" fontId="1" fillId="0" borderId="0"/>
  </cellStyleXfs>
  <cellXfs count="383">
    <xf numFmtId="0" fontId="0" fillId="0" borderId="0" xfId="0"/>
    <xf numFmtId="0" fontId="31" fillId="0" borderId="0" xfId="0" applyFont="1" applyAlignment="1">
      <alignment vertical="top"/>
    </xf>
    <xf numFmtId="0" fontId="34" fillId="0" borderId="0" xfId="0" applyFont="1" applyAlignment="1">
      <alignment vertical="center"/>
    </xf>
    <xf numFmtId="0" fontId="33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2" fontId="31" fillId="0" borderId="0" xfId="0" applyNumberFormat="1" applyFont="1" applyAlignment="1">
      <alignment horizontal="center" vertical="center" wrapText="1"/>
    </xf>
    <xf numFmtId="2" fontId="31" fillId="0" borderId="0" xfId="0" applyNumberFormat="1" applyFont="1" applyAlignment="1">
      <alignment vertical="center" wrapText="1"/>
    </xf>
    <xf numFmtId="0" fontId="31" fillId="0" borderId="0" xfId="45" applyFont="1" applyAlignment="1">
      <alignment vertical="center"/>
    </xf>
    <xf numFmtId="0" fontId="31" fillId="0" borderId="11" xfId="0" applyFont="1" applyBorder="1" applyAlignment="1">
      <alignment horizontal="center" vertical="center"/>
    </xf>
    <xf numFmtId="9" fontId="31" fillId="0" borderId="11" xfId="62" applyFont="1" applyFill="1" applyBorder="1" applyAlignment="1">
      <alignment horizontal="center" vertical="center"/>
    </xf>
    <xf numFmtId="0" fontId="35" fillId="0" borderId="11" xfId="39" applyFont="1" applyFill="1" applyBorder="1" applyAlignment="1">
      <alignment vertical="center" wrapText="1"/>
    </xf>
    <xf numFmtId="0" fontId="52" fillId="0" borderId="11" xfId="0" applyFont="1" applyBorder="1" applyAlignment="1">
      <alignment vertical="center" wrapText="1"/>
    </xf>
    <xf numFmtId="0" fontId="55" fillId="0" borderId="0" xfId="0" applyFont="1" applyAlignment="1">
      <alignment vertical="top"/>
    </xf>
    <xf numFmtId="170" fontId="31" fillId="0" borderId="0" xfId="45" applyNumberFormat="1" applyFont="1" applyAlignment="1">
      <alignment vertical="center"/>
    </xf>
    <xf numFmtId="9" fontId="31" fillId="0" borderId="0" xfId="62" applyFont="1" applyAlignment="1">
      <alignment vertical="center"/>
    </xf>
    <xf numFmtId="0" fontId="57" fillId="0" borderId="0" xfId="0" applyFont="1"/>
    <xf numFmtId="0" fontId="56" fillId="0" borderId="0" xfId="0" applyFont="1" applyAlignment="1">
      <alignment horizontal="center"/>
    </xf>
    <xf numFmtId="0" fontId="56" fillId="0" borderId="0" xfId="0" applyFont="1"/>
    <xf numFmtId="9" fontId="57" fillId="0" borderId="0" xfId="0" applyNumberFormat="1" applyFont="1"/>
    <xf numFmtId="175" fontId="57" fillId="0" borderId="0" xfId="0" applyNumberFormat="1" applyFont="1"/>
    <xf numFmtId="0" fontId="1" fillId="0" borderId="0" xfId="99"/>
    <xf numFmtId="0" fontId="1" fillId="0" borderId="0" xfId="99" applyAlignment="1">
      <alignment horizontal="center"/>
    </xf>
    <xf numFmtId="166" fontId="57" fillId="0" borderId="0" xfId="61" applyFont="1"/>
    <xf numFmtId="169" fontId="50" fillId="24" borderId="10" xfId="61" applyNumberFormat="1" applyFont="1" applyFill="1" applyBorder="1" applyAlignment="1">
      <alignment horizontal="left" vertical="center" wrapText="1"/>
    </xf>
    <xf numFmtId="169" fontId="50" fillId="24" borderId="16" xfId="61" applyNumberFormat="1" applyFont="1" applyFill="1" applyBorder="1" applyAlignment="1">
      <alignment horizontal="left" vertical="center" wrapText="1"/>
    </xf>
    <xf numFmtId="169" fontId="50" fillId="24" borderId="27" xfId="61" applyNumberFormat="1" applyFont="1" applyFill="1" applyBorder="1" applyAlignment="1">
      <alignment horizontal="left" vertical="center" wrapText="1"/>
    </xf>
    <xf numFmtId="173" fontId="47" fillId="30" borderId="15" xfId="63" applyNumberFormat="1" applyFont="1" applyFill="1" applyBorder="1" applyAlignment="1">
      <alignment horizontal="center" vertical="center"/>
    </xf>
    <xf numFmtId="173" fontId="47" fillId="30" borderId="39" xfId="63" applyNumberFormat="1" applyFont="1" applyFill="1" applyBorder="1" applyAlignment="1">
      <alignment horizontal="center" vertical="center"/>
    </xf>
    <xf numFmtId="173" fontId="47" fillId="30" borderId="39" xfId="63" applyNumberFormat="1" applyFont="1" applyFill="1" applyBorder="1" applyAlignment="1">
      <alignment horizontal="left" vertical="center"/>
    </xf>
    <xf numFmtId="176" fontId="51" fillId="30" borderId="0" xfId="62" applyNumberFormat="1" applyFont="1" applyFill="1" applyBorder="1" applyAlignment="1">
      <alignment horizontal="center" vertical="center"/>
    </xf>
    <xf numFmtId="9" fontId="51" fillId="30" borderId="0" xfId="62" applyFont="1" applyFill="1" applyBorder="1" applyAlignment="1">
      <alignment horizontal="center" vertical="center"/>
    </xf>
    <xf numFmtId="9" fontId="51" fillId="30" borderId="15" xfId="62" applyFont="1" applyFill="1" applyBorder="1" applyAlignment="1">
      <alignment horizontal="center" vertical="center"/>
    </xf>
    <xf numFmtId="2" fontId="38" fillId="30" borderId="26" xfId="0" applyNumberFormat="1" applyFont="1" applyFill="1" applyBorder="1" applyAlignment="1">
      <alignment horizontal="right" vertical="center"/>
    </xf>
    <xf numFmtId="175" fontId="51" fillId="30" borderId="26" xfId="62" applyNumberFormat="1" applyFont="1" applyFill="1" applyBorder="1" applyAlignment="1">
      <alignment horizontal="center" vertical="center"/>
    </xf>
    <xf numFmtId="2" fontId="31" fillId="30" borderId="43" xfId="0" applyNumberFormat="1" applyFont="1" applyFill="1" applyBorder="1" applyAlignment="1">
      <alignment horizontal="center" vertical="center" wrapText="1"/>
    </xf>
    <xf numFmtId="0" fontId="36" fillId="30" borderId="44" xfId="34" applyFont="1" applyFill="1" applyBorder="1" applyAlignment="1" applyProtection="1">
      <alignment horizontal="right"/>
    </xf>
    <xf numFmtId="9" fontId="43" fillId="30" borderId="45" xfId="62" applyFont="1" applyFill="1" applyBorder="1" applyAlignment="1">
      <alignment horizontal="center" vertical="center"/>
    </xf>
    <xf numFmtId="2" fontId="31" fillId="30" borderId="16" xfId="0" applyNumberFormat="1" applyFont="1" applyFill="1" applyBorder="1" applyAlignment="1">
      <alignment horizontal="center" vertical="center" wrapText="1"/>
    </xf>
    <xf numFmtId="0" fontId="36" fillId="30" borderId="15" xfId="34" applyFont="1" applyFill="1" applyBorder="1" applyAlignment="1" applyProtection="1">
      <alignment horizontal="right"/>
    </xf>
    <xf numFmtId="9" fontId="43" fillId="30" borderId="34" xfId="62" applyFont="1" applyFill="1" applyBorder="1" applyAlignment="1">
      <alignment horizontal="center" vertical="center"/>
    </xf>
    <xf numFmtId="0" fontId="61" fillId="0" borderId="0" xfId="0" applyFont="1"/>
    <xf numFmtId="0" fontId="66" fillId="24" borderId="22" xfId="41" applyFont="1" applyFill="1" applyBorder="1" applyAlignment="1">
      <alignment horizontal="center" vertical="center"/>
    </xf>
    <xf numFmtId="0" fontId="66" fillId="24" borderId="22" xfId="41" applyFont="1" applyFill="1" applyBorder="1" applyAlignment="1">
      <alignment horizontal="left" vertical="center"/>
    </xf>
    <xf numFmtId="0" fontId="66" fillId="0" borderId="22" xfId="41" applyFont="1" applyFill="1" applyBorder="1" applyAlignment="1">
      <alignment vertical="center"/>
    </xf>
    <xf numFmtId="168" fontId="66" fillId="24" borderId="22" xfId="41" applyNumberFormat="1" applyFont="1" applyFill="1" applyBorder="1" applyAlignment="1" applyProtection="1">
      <alignment horizontal="center" vertical="center"/>
    </xf>
    <xf numFmtId="0" fontId="66" fillId="24" borderId="33" xfId="41" applyFont="1" applyFill="1" applyBorder="1" applyAlignment="1">
      <alignment horizontal="center" vertical="center"/>
    </xf>
    <xf numFmtId="0" fontId="66" fillId="24" borderId="33" xfId="41" applyFont="1" applyFill="1" applyBorder="1" applyAlignment="1">
      <alignment horizontal="left" vertical="center"/>
    </xf>
    <xf numFmtId="0" fontId="66" fillId="0" borderId="33" xfId="41" applyFont="1" applyFill="1" applyBorder="1" applyAlignment="1">
      <alignment vertical="center"/>
    </xf>
    <xf numFmtId="168" fontId="66" fillId="24" borderId="33" xfId="41" applyNumberFormat="1" applyFont="1" applyFill="1" applyBorder="1" applyAlignment="1" applyProtection="1">
      <alignment horizontal="center" vertical="center"/>
    </xf>
    <xf numFmtId="175" fontId="66" fillId="0" borderId="33" xfId="41" applyNumberFormat="1" applyFont="1" applyFill="1" applyBorder="1" applyAlignment="1">
      <alignment horizontal="center" vertical="center"/>
    </xf>
    <xf numFmtId="169" fontId="66" fillId="24" borderId="33" xfId="41" applyNumberFormat="1" applyFont="1" applyFill="1" applyBorder="1" applyAlignment="1">
      <alignment horizontal="left" vertical="center"/>
    </xf>
    <xf numFmtId="0" fontId="66" fillId="24" borderId="17" xfId="41" applyFont="1" applyFill="1" applyBorder="1" applyAlignment="1">
      <alignment vertical="center"/>
    </xf>
    <xf numFmtId="9" fontId="66" fillId="0" borderId="33" xfId="41" applyNumberFormat="1" applyFont="1" applyFill="1" applyBorder="1" applyAlignment="1">
      <alignment horizontal="center" vertical="center"/>
    </xf>
    <xf numFmtId="0" fontId="36" fillId="31" borderId="11" xfId="0" applyFont="1" applyFill="1" applyBorder="1" applyAlignment="1">
      <alignment horizontal="center" vertical="center" wrapText="1"/>
    </xf>
    <xf numFmtId="1" fontId="31" fillId="34" borderId="41" xfId="38" applyNumberFormat="1" applyFont="1" applyFill="1" applyBorder="1" applyAlignment="1">
      <alignment horizontal="center" vertical="center"/>
    </xf>
    <xf numFmtId="173" fontId="31" fillId="35" borderId="40" xfId="63" applyNumberFormat="1" applyFont="1" applyFill="1" applyBorder="1" applyAlignment="1">
      <alignment horizontal="center" vertical="center"/>
    </xf>
    <xf numFmtId="9" fontId="31" fillId="35" borderId="40" xfId="62" applyFont="1" applyFill="1" applyBorder="1" applyAlignment="1">
      <alignment horizontal="right" vertical="center"/>
    </xf>
    <xf numFmtId="173" fontId="31" fillId="35" borderId="40" xfId="63" applyNumberFormat="1" applyFont="1" applyFill="1" applyBorder="1" applyAlignment="1">
      <alignment horizontal="right" vertical="center"/>
    </xf>
    <xf numFmtId="173" fontId="32" fillId="35" borderId="11" xfId="63" applyNumberFormat="1" applyFont="1" applyFill="1" applyBorder="1" applyAlignment="1">
      <alignment horizontal="center" vertical="center" wrapText="1"/>
    </xf>
    <xf numFmtId="0" fontId="32" fillId="34" borderId="11" xfId="38" applyNumberFormat="1" applyFont="1" applyFill="1" applyBorder="1" applyAlignment="1">
      <alignment horizontal="center" vertical="center" wrapText="1"/>
    </xf>
    <xf numFmtId="0" fontId="31" fillId="35" borderId="40" xfId="64" applyFont="1" applyFill="1" applyBorder="1" applyAlignment="1">
      <alignment horizontal="center" vertical="center"/>
    </xf>
    <xf numFmtId="174" fontId="31" fillId="35" borderId="40" xfId="94" applyNumberFormat="1" applyFont="1" applyFill="1" applyAlignment="1">
      <alignment horizontal="center" vertical="center"/>
    </xf>
    <xf numFmtId="0" fontId="31" fillId="35" borderId="40" xfId="94" applyFont="1" applyFill="1" applyAlignment="1">
      <alignment horizontal="center" vertical="center"/>
    </xf>
    <xf numFmtId="0" fontId="31" fillId="35" borderId="40" xfId="38" applyFont="1" applyFill="1" applyBorder="1" applyAlignment="1">
      <alignment horizontal="center" vertical="center"/>
    </xf>
    <xf numFmtId="171" fontId="31" fillId="35" borderId="40" xfId="38" applyNumberFormat="1" applyFont="1" applyFill="1" applyBorder="1" applyAlignment="1">
      <alignment horizontal="right" vertical="center"/>
    </xf>
    <xf numFmtId="171" fontId="31" fillId="35" borderId="40" xfId="38" applyNumberFormat="1" applyFont="1" applyFill="1" applyBorder="1" applyAlignment="1">
      <alignment vertical="center"/>
    </xf>
    <xf numFmtId="167" fontId="31" fillId="35" borderId="40" xfId="38" applyNumberFormat="1" applyFont="1" applyFill="1" applyBorder="1" applyAlignment="1">
      <alignment horizontal="center" vertical="center"/>
    </xf>
    <xf numFmtId="171" fontId="31" fillId="34" borderId="40" xfId="38" applyNumberFormat="1" applyFont="1" applyFill="1" applyBorder="1" applyAlignment="1">
      <alignment horizontal="right" vertical="center"/>
    </xf>
    <xf numFmtId="170" fontId="31" fillId="37" borderId="40" xfId="38" applyNumberFormat="1" applyFont="1" applyFill="1" applyBorder="1" applyAlignment="1" applyProtection="1">
      <alignment horizontal="left" vertical="center"/>
    </xf>
    <xf numFmtId="1" fontId="31" fillId="34" borderId="49" xfId="38" applyNumberFormat="1" applyFont="1" applyFill="1" applyBorder="1" applyAlignment="1">
      <alignment horizontal="center" vertical="center"/>
    </xf>
    <xf numFmtId="177" fontId="67" fillId="33" borderId="11" xfId="38" applyNumberFormat="1" applyFont="1" applyFill="1" applyBorder="1" applyAlignment="1">
      <alignment vertical="center"/>
    </xf>
    <xf numFmtId="166" fontId="31" fillId="37" borderId="11" xfId="61" applyFont="1" applyFill="1" applyBorder="1" applyAlignment="1" applyProtection="1">
      <alignment horizontal="left" vertical="center"/>
    </xf>
    <xf numFmtId="177" fontId="67" fillId="33" borderId="11" xfId="38" applyNumberFormat="1" applyFont="1" applyFill="1" applyBorder="1" applyAlignment="1">
      <alignment horizontal="center" vertical="center"/>
    </xf>
    <xf numFmtId="0" fontId="31" fillId="0" borderId="11" xfId="0" applyFont="1" applyBorder="1" applyAlignment="1">
      <alignment horizontal="left" vertical="center"/>
    </xf>
    <xf numFmtId="178" fontId="57" fillId="0" borderId="0" xfId="0" applyNumberFormat="1" applyFont="1"/>
    <xf numFmtId="0" fontId="35" fillId="28" borderId="38" xfId="89" applyFont="1" applyFill="1" applyBorder="1" applyAlignment="1">
      <alignment horizontal="center" vertical="center"/>
    </xf>
    <xf numFmtId="173" fontId="35" fillId="28" borderId="15" xfId="48" applyNumberFormat="1" applyFont="1" applyFill="1" applyBorder="1" applyAlignment="1">
      <alignment horizontal="center" vertical="center"/>
    </xf>
    <xf numFmtId="0" fontId="35" fillId="28" borderId="15" xfId="89" applyFont="1" applyFill="1" applyBorder="1" applyAlignment="1">
      <alignment vertical="center"/>
    </xf>
    <xf numFmtId="173" fontId="35" fillId="28" borderId="15" xfId="48" applyNumberFormat="1" applyFont="1" applyFill="1" applyBorder="1" applyAlignment="1">
      <alignment vertical="center"/>
    </xf>
    <xf numFmtId="1" fontId="31" fillId="34" borderId="52" xfId="38" applyNumberFormat="1" applyFont="1" applyFill="1" applyBorder="1" applyAlignment="1">
      <alignment horizontal="center" vertical="center"/>
    </xf>
    <xf numFmtId="173" fontId="31" fillId="35" borderId="53" xfId="63" applyNumberFormat="1" applyFont="1" applyFill="1" applyBorder="1" applyAlignment="1">
      <alignment horizontal="center" vertical="center"/>
    </xf>
    <xf numFmtId="9" fontId="31" fillId="35" borderId="53" xfId="62" applyFont="1" applyFill="1" applyBorder="1" applyAlignment="1">
      <alignment horizontal="right" vertical="center"/>
    </xf>
    <xf numFmtId="173" fontId="31" fillId="35" borderId="53" xfId="63" applyNumberFormat="1" applyFont="1" applyFill="1" applyBorder="1" applyAlignment="1">
      <alignment horizontal="right" vertical="center"/>
    </xf>
    <xf numFmtId="167" fontId="31" fillId="35" borderId="53" xfId="38" applyNumberFormat="1" applyFont="1" applyFill="1" applyBorder="1" applyAlignment="1">
      <alignment horizontal="center" vertical="center"/>
    </xf>
    <xf numFmtId="171" fontId="31" fillId="35" borderId="53" xfId="38" applyNumberFormat="1" applyFont="1" applyFill="1" applyBorder="1" applyAlignment="1">
      <alignment horizontal="right" vertical="center"/>
    </xf>
    <xf numFmtId="171" fontId="31" fillId="34" borderId="53" xfId="38" applyNumberFormat="1" applyFont="1" applyFill="1" applyBorder="1" applyAlignment="1">
      <alignment horizontal="right" vertical="center"/>
    </xf>
    <xf numFmtId="170" fontId="31" fillId="37" borderId="53" xfId="38" applyNumberFormat="1" applyFont="1" applyFill="1" applyBorder="1" applyAlignment="1" applyProtection="1">
      <alignment horizontal="left" vertical="center"/>
    </xf>
    <xf numFmtId="174" fontId="31" fillId="35" borderId="53" xfId="94" applyNumberFormat="1" applyFont="1" applyFill="1" applyBorder="1" applyAlignment="1">
      <alignment horizontal="center" vertical="center"/>
    </xf>
    <xf numFmtId="175" fontId="66" fillId="0" borderId="22" xfId="41" applyNumberFormat="1" applyFont="1" applyFill="1" applyBorder="1" applyAlignment="1">
      <alignment horizontal="center" vertical="center"/>
    </xf>
    <xf numFmtId="169" fontId="66" fillId="24" borderId="22" xfId="41" applyNumberFormat="1" applyFont="1" applyFill="1" applyBorder="1" applyAlignment="1">
      <alignment horizontal="left" vertical="center"/>
    </xf>
    <xf numFmtId="0" fontId="64" fillId="30" borderId="11" xfId="0" applyFont="1" applyFill="1" applyBorder="1" applyAlignment="1">
      <alignment horizontal="right"/>
    </xf>
    <xf numFmtId="169" fontId="31" fillId="0" borderId="11" xfId="78" applyNumberFormat="1" applyFont="1" applyBorder="1" applyAlignment="1">
      <alignment vertical="top" wrapText="1"/>
    </xf>
    <xf numFmtId="0" fontId="31" fillId="0" borderId="0" xfId="0" applyFont="1"/>
    <xf numFmtId="0" fontId="71" fillId="0" borderId="0" xfId="0" applyFont="1"/>
    <xf numFmtId="0" fontId="75" fillId="0" borderId="0" xfId="0" applyFont="1"/>
    <xf numFmtId="167" fontId="54" fillId="0" borderId="0" xfId="63" applyFont="1" applyBorder="1" applyAlignment="1"/>
    <xf numFmtId="167" fontId="55" fillId="0" borderId="0" xfId="63" applyFont="1" applyBorder="1" applyAlignment="1"/>
    <xf numFmtId="0" fontId="83" fillId="0" borderId="0" xfId="0" applyFont="1"/>
    <xf numFmtId="173" fontId="54" fillId="0" borderId="0" xfId="63" applyNumberFormat="1" applyFont="1" applyBorder="1"/>
    <xf numFmtId="0" fontId="31" fillId="24" borderId="10" xfId="0" applyFont="1" applyFill="1" applyBorder="1" applyAlignment="1">
      <alignment vertical="top"/>
    </xf>
    <xf numFmtId="2" fontId="32" fillId="24" borderId="12" xfId="0" applyNumberFormat="1" applyFont="1" applyFill="1" applyBorder="1" applyAlignment="1">
      <alignment vertical="center" wrapText="1"/>
    </xf>
    <xf numFmtId="2" fontId="31" fillId="24" borderId="12" xfId="0" applyNumberFormat="1" applyFont="1" applyFill="1" applyBorder="1" applyAlignment="1">
      <alignment vertical="center" wrapText="1"/>
    </xf>
    <xf numFmtId="172" fontId="64" fillId="30" borderId="11" xfId="0" applyNumberFormat="1" applyFont="1" applyFill="1" applyBorder="1"/>
    <xf numFmtId="0" fontId="65" fillId="0" borderId="0" xfId="0" applyFont="1" applyAlignment="1">
      <alignment vertical="top"/>
    </xf>
    <xf numFmtId="0" fontId="71" fillId="24" borderId="10" xfId="0" applyFont="1" applyFill="1" applyBorder="1" applyAlignment="1">
      <alignment vertical="center" wrapText="1"/>
    </xf>
    <xf numFmtId="169" fontId="47" fillId="24" borderId="0" xfId="61" applyNumberFormat="1" applyFont="1" applyFill="1" applyBorder="1" applyAlignment="1">
      <alignment horizontal="justify" vertical="center" wrapText="1"/>
    </xf>
    <xf numFmtId="0" fontId="65" fillId="24" borderId="10" xfId="0" applyFont="1" applyFill="1" applyBorder="1" applyAlignment="1">
      <alignment vertical="top"/>
    </xf>
    <xf numFmtId="169" fontId="86" fillId="24" borderId="0" xfId="75" applyNumberFormat="1" applyFont="1" applyFill="1" applyBorder="1" applyAlignment="1">
      <alignment horizontal="left" vertical="center"/>
    </xf>
    <xf numFmtId="0" fontId="31" fillId="24" borderId="10" xfId="0" applyFont="1" applyFill="1" applyBorder="1" applyAlignment="1">
      <alignment horizontal="center" vertical="center"/>
    </xf>
    <xf numFmtId="0" fontId="31" fillId="0" borderId="10" xfId="0" applyFont="1" applyBorder="1" applyAlignment="1">
      <alignment vertical="top"/>
    </xf>
    <xf numFmtId="0" fontId="31" fillId="24" borderId="16" xfId="0" applyFont="1" applyFill="1" applyBorder="1" applyAlignment="1">
      <alignment vertical="top"/>
    </xf>
    <xf numFmtId="0" fontId="31" fillId="24" borderId="15" xfId="0" applyFont="1" applyFill="1" applyBorder="1" applyAlignment="1">
      <alignment horizontal="center" vertical="center"/>
    </xf>
    <xf numFmtId="2" fontId="31" fillId="24" borderId="15" xfId="0" applyNumberFormat="1" applyFont="1" applyFill="1" applyBorder="1" applyAlignment="1">
      <alignment vertical="top" wrapText="1"/>
    </xf>
    <xf numFmtId="2" fontId="31" fillId="24" borderId="15" xfId="0" applyNumberFormat="1" applyFont="1" applyFill="1" applyBorder="1" applyAlignment="1">
      <alignment horizontal="center" vertical="center" wrapText="1"/>
    </xf>
    <xf numFmtId="2" fontId="31" fillId="24" borderId="15" xfId="0" applyNumberFormat="1" applyFont="1" applyFill="1" applyBorder="1" applyAlignment="1">
      <alignment vertical="center" wrapText="1"/>
    </xf>
    <xf numFmtId="2" fontId="31" fillId="24" borderId="34" xfId="0" applyNumberFormat="1" applyFont="1" applyFill="1" applyBorder="1" applyAlignment="1">
      <alignment vertical="center" wrapText="1"/>
    </xf>
    <xf numFmtId="2" fontId="31" fillId="0" borderId="0" xfId="0" applyNumberFormat="1" applyFont="1" applyAlignment="1">
      <alignment vertical="top" wrapText="1"/>
    </xf>
    <xf numFmtId="168" fontId="31" fillId="0" borderId="0" xfId="0" applyNumberFormat="1" applyFont="1" applyAlignment="1">
      <alignment vertical="center"/>
    </xf>
    <xf numFmtId="0" fontId="91" fillId="36" borderId="47" xfId="0" applyFont="1" applyFill="1" applyBorder="1" applyAlignment="1">
      <alignment horizontal="center" vertical="center"/>
    </xf>
    <xf numFmtId="0" fontId="40" fillId="36" borderId="50" xfId="0" applyFont="1" applyFill="1" applyBorder="1" applyAlignment="1">
      <alignment horizontal="center" vertical="center"/>
    </xf>
    <xf numFmtId="0" fontId="40" fillId="36" borderId="54" xfId="0" applyFont="1" applyFill="1" applyBorder="1" applyAlignment="1">
      <alignment horizontal="center" vertical="center"/>
    </xf>
    <xf numFmtId="0" fontId="91" fillId="36" borderId="55" xfId="0" applyFont="1" applyFill="1" applyBorder="1" applyAlignment="1">
      <alignment horizontal="center" vertical="center"/>
    </xf>
    <xf numFmtId="0" fontId="31" fillId="34" borderId="0" xfId="64" applyFont="1" applyFill="1" applyBorder="1" applyAlignment="1">
      <alignment horizontal="right" vertical="center" wrapText="1"/>
    </xf>
    <xf numFmtId="173" fontId="32" fillId="35" borderId="40" xfId="63" applyNumberFormat="1" applyFont="1" applyFill="1" applyBorder="1" applyAlignment="1">
      <alignment horizontal="center" vertical="center"/>
    </xf>
    <xf numFmtId="9" fontId="32" fillId="35" borderId="40" xfId="62" applyFont="1" applyFill="1" applyBorder="1" applyAlignment="1">
      <alignment horizontal="right" vertical="center"/>
    </xf>
    <xf numFmtId="173" fontId="32" fillId="35" borderId="40" xfId="63" applyNumberFormat="1" applyFont="1" applyFill="1" applyBorder="1" applyAlignment="1">
      <alignment horizontal="right" vertical="center"/>
    </xf>
    <xf numFmtId="0" fontId="90" fillId="36" borderId="47" xfId="0" applyFont="1" applyFill="1" applyBorder="1" applyAlignment="1">
      <alignment horizontal="center" vertical="center"/>
    </xf>
    <xf numFmtId="0" fontId="31" fillId="0" borderId="10" xfId="0" applyFont="1" applyBorder="1"/>
    <xf numFmtId="0" fontId="31" fillId="0" borderId="12" xfId="0" applyFont="1" applyBorder="1"/>
    <xf numFmtId="0" fontId="75" fillId="0" borderId="10" xfId="0" applyFont="1" applyBorder="1"/>
    <xf numFmtId="0" fontId="77" fillId="0" borderId="0" xfId="0" applyFont="1"/>
    <xf numFmtId="0" fontId="75" fillId="0" borderId="12" xfId="0" applyFont="1" applyBorder="1"/>
    <xf numFmtId="0" fontId="82" fillId="0" borderId="0" xfId="0" applyFont="1"/>
    <xf numFmtId="0" fontId="54" fillId="0" borderId="0" xfId="0" applyFont="1"/>
    <xf numFmtId="175" fontId="54" fillId="0" borderId="0" xfId="0" applyNumberFormat="1" applyFont="1"/>
    <xf numFmtId="0" fontId="82" fillId="0" borderId="0" xfId="0" applyFont="1" applyAlignment="1">
      <alignment vertical="center"/>
    </xf>
    <xf numFmtId="0" fontId="83" fillId="0" borderId="10" xfId="0" applyFont="1" applyBorder="1"/>
    <xf numFmtId="0" fontId="54" fillId="0" borderId="0" xfId="0" applyFont="1" applyAlignment="1">
      <alignment horizontal="center"/>
    </xf>
    <xf numFmtId="0" fontId="77" fillId="0" borderId="0" xfId="0" applyFont="1" applyAlignment="1">
      <alignment vertical="top"/>
    </xf>
    <xf numFmtId="0" fontId="31" fillId="0" borderId="16" xfId="0" applyFont="1" applyBorder="1"/>
    <xf numFmtId="0" fontId="31" fillId="0" borderId="15" xfId="0" applyFont="1" applyBorder="1"/>
    <xf numFmtId="0" fontId="31" fillId="0" borderId="34" xfId="0" applyFont="1" applyBorder="1"/>
    <xf numFmtId="0" fontId="31" fillId="24" borderId="0" xfId="0" applyFont="1" applyFill="1" applyAlignment="1">
      <alignment horizontal="center" vertical="center"/>
    </xf>
    <xf numFmtId="2" fontId="31" fillId="24" borderId="0" xfId="0" applyNumberFormat="1" applyFont="1" applyFill="1" applyAlignment="1">
      <alignment vertical="top" wrapText="1"/>
    </xf>
    <xf numFmtId="2" fontId="31" fillId="24" borderId="0" xfId="0" applyNumberFormat="1" applyFont="1" applyFill="1" applyAlignment="1">
      <alignment horizontal="center" vertical="center" wrapText="1"/>
    </xf>
    <xf numFmtId="2" fontId="32" fillId="24" borderId="0" xfId="0" applyNumberFormat="1" applyFont="1" applyFill="1" applyAlignment="1">
      <alignment vertical="center" wrapText="1"/>
    </xf>
    <xf numFmtId="0" fontId="64" fillId="24" borderId="0" xfId="0" applyFont="1" applyFill="1" applyAlignment="1">
      <alignment horizontal="right"/>
    </xf>
    <xf numFmtId="14" fontId="63" fillId="24" borderId="0" xfId="0" applyNumberFormat="1" applyFont="1" applyFill="1" applyAlignment="1">
      <alignment horizontal="left" vertical="center"/>
    </xf>
    <xf numFmtId="2" fontId="31" fillId="24" borderId="0" xfId="0" applyNumberFormat="1" applyFont="1" applyFill="1" applyAlignment="1">
      <alignment vertical="center" wrapText="1"/>
    </xf>
    <xf numFmtId="172" fontId="46" fillId="24" borderId="0" xfId="0" applyNumberFormat="1" applyFont="1" applyFill="1"/>
    <xf numFmtId="172" fontId="63" fillId="24" borderId="0" xfId="0" applyNumberFormat="1" applyFont="1" applyFill="1" applyAlignment="1">
      <alignment horizontal="left"/>
    </xf>
    <xf numFmtId="172" fontId="63" fillId="24" borderId="0" xfId="0" applyNumberFormat="1" applyFont="1" applyFill="1" applyAlignment="1">
      <alignment horizontal="left" vertical="top"/>
    </xf>
    <xf numFmtId="0" fontId="64" fillId="24" borderId="0" xfId="0" applyFont="1" applyFill="1" applyAlignment="1">
      <alignment horizontal="right" vertical="center"/>
    </xf>
    <xf numFmtId="0" fontId="65" fillId="24" borderId="0" xfId="0" applyFont="1" applyFill="1" applyAlignment="1">
      <alignment horizontal="center" vertical="center"/>
    </xf>
    <xf numFmtId="0" fontId="31" fillId="24" borderId="0" xfId="0" applyFont="1" applyFill="1" applyAlignment="1">
      <alignment vertical="center"/>
    </xf>
    <xf numFmtId="0" fontId="65" fillId="24" borderId="0" xfId="0" applyFont="1" applyFill="1" applyAlignment="1">
      <alignment horizontal="left" vertical="center"/>
    </xf>
    <xf numFmtId="169" fontId="65" fillId="24" borderId="0" xfId="61" applyNumberFormat="1" applyFont="1" applyFill="1" applyBorder="1" applyAlignment="1">
      <alignment vertical="center"/>
    </xf>
    <xf numFmtId="169" fontId="65" fillId="24" borderId="0" xfId="61" applyNumberFormat="1" applyFont="1" applyFill="1" applyBorder="1" applyAlignment="1">
      <alignment vertical="center" wrapText="1"/>
    </xf>
    <xf numFmtId="49" fontId="65" fillId="24" borderId="0" xfId="0" applyNumberFormat="1" applyFont="1" applyFill="1" applyAlignment="1">
      <alignment vertical="center" wrapText="1"/>
    </xf>
    <xf numFmtId="2" fontId="65" fillId="24" borderId="0" xfId="0" applyNumberFormat="1" applyFont="1" applyFill="1" applyAlignment="1">
      <alignment vertical="center" wrapText="1"/>
    </xf>
    <xf numFmtId="0" fontId="65" fillId="24" borderId="0" xfId="0" applyFont="1" applyFill="1" applyAlignment="1">
      <alignment vertical="center"/>
    </xf>
    <xf numFmtId="2" fontId="85" fillId="24" borderId="0" xfId="0" applyNumberFormat="1" applyFont="1" applyFill="1" applyAlignment="1">
      <alignment vertical="center" wrapText="1"/>
    </xf>
    <xf numFmtId="2" fontId="44" fillId="24" borderId="0" xfId="0" applyNumberFormat="1" applyFont="1" applyFill="1" applyAlignment="1">
      <alignment horizontal="center" vertical="center" wrapText="1"/>
    </xf>
    <xf numFmtId="0" fontId="65" fillId="24" borderId="0" xfId="0" applyFont="1" applyFill="1" applyAlignment="1">
      <alignment vertical="top"/>
    </xf>
    <xf numFmtId="2" fontId="87" fillId="24" borderId="0" xfId="0" applyNumberFormat="1" applyFont="1" applyFill="1" applyAlignment="1">
      <alignment vertical="center" wrapText="1"/>
    </xf>
    <xf numFmtId="0" fontId="47" fillId="24" borderId="0" xfId="0" applyFont="1" applyFill="1" applyAlignment="1">
      <alignment horizontal="left" vertical="center" wrapText="1"/>
    </xf>
    <xf numFmtId="0" fontId="89" fillId="24" borderId="0" xfId="0" applyFont="1" applyFill="1" applyAlignment="1">
      <alignment horizontal="center" vertical="center"/>
    </xf>
    <xf numFmtId="0" fontId="69" fillId="33" borderId="11" xfId="77" applyFont="1" applyFill="1" applyBorder="1" applyAlignment="1">
      <alignment horizontal="center" vertical="center" wrapText="1"/>
    </xf>
    <xf numFmtId="169" fontId="47" fillId="24" borderId="11" xfId="61" applyNumberFormat="1" applyFont="1" applyFill="1" applyBorder="1" applyAlignment="1">
      <alignment horizontal="justify" vertical="center" wrapText="1"/>
    </xf>
    <xf numFmtId="9" fontId="39" fillId="32" borderId="11" xfId="79" applyFont="1" applyFill="1" applyBorder="1" applyAlignment="1">
      <alignment horizontal="center" vertical="center"/>
    </xf>
    <xf numFmtId="0" fontId="41" fillId="38" borderId="11" xfId="0" applyFont="1" applyFill="1" applyBorder="1" applyAlignment="1">
      <alignment horizontal="center" vertical="center"/>
    </xf>
    <xf numFmtId="0" fontId="41" fillId="38" borderId="11" xfId="0" applyFont="1" applyFill="1" applyBorder="1" applyAlignment="1">
      <alignment horizontal="left" vertical="center"/>
    </xf>
    <xf numFmtId="2" fontId="41" fillId="38" borderId="11" xfId="0" applyNumberFormat="1" applyFont="1" applyFill="1" applyBorder="1" applyAlignment="1">
      <alignment horizontal="center" vertical="center" wrapText="1"/>
    </xf>
    <xf numFmtId="2" fontId="41" fillId="38" borderId="11" xfId="0" applyNumberFormat="1" applyFont="1" applyFill="1" applyBorder="1" applyAlignment="1">
      <alignment vertical="center" wrapText="1"/>
    </xf>
    <xf numFmtId="169" fontId="31" fillId="0" borderId="11" xfId="61" applyNumberFormat="1" applyFont="1" applyBorder="1" applyAlignment="1">
      <alignment horizontal="center" vertical="center" wrapText="1"/>
    </xf>
    <xf numFmtId="175" fontId="31" fillId="0" borderId="11" xfId="62" applyNumberFormat="1" applyFont="1" applyBorder="1" applyAlignment="1">
      <alignment horizontal="center" vertical="center" wrapText="1"/>
    </xf>
    <xf numFmtId="0" fontId="88" fillId="35" borderId="11" xfId="0" applyFont="1" applyFill="1" applyBorder="1" applyAlignment="1">
      <alignment horizontal="right" vertical="center"/>
    </xf>
    <xf numFmtId="0" fontId="32" fillId="35" borderId="11" xfId="0" applyFont="1" applyFill="1" applyBorder="1" applyAlignment="1">
      <alignment horizontal="right" vertical="center"/>
    </xf>
    <xf numFmtId="169" fontId="32" fillId="35" borderId="11" xfId="61" applyNumberFormat="1" applyFont="1" applyFill="1" applyBorder="1" applyAlignment="1">
      <alignment vertical="top" wrapText="1"/>
    </xf>
    <xf numFmtId="169" fontId="32" fillId="35" borderId="11" xfId="61" applyNumberFormat="1" applyFont="1" applyFill="1" applyBorder="1" applyAlignment="1">
      <alignment horizontal="center" vertical="top" wrapText="1"/>
    </xf>
    <xf numFmtId="9" fontId="31" fillId="35" borderId="11" xfId="0" applyNumberFormat="1" applyFont="1" applyFill="1" applyBorder="1" applyAlignment="1">
      <alignment horizontal="center" vertical="center" wrapText="1"/>
    </xf>
    <xf numFmtId="169" fontId="32" fillId="35" borderId="11" xfId="61" applyNumberFormat="1" applyFont="1" applyFill="1" applyBorder="1" applyAlignment="1">
      <alignment horizontal="left" vertical="top" wrapText="1"/>
    </xf>
    <xf numFmtId="169" fontId="32" fillId="35" borderId="11" xfId="61" applyNumberFormat="1" applyFont="1" applyFill="1" applyBorder="1" applyAlignment="1">
      <alignment horizontal="center" vertical="center" wrapText="1"/>
    </xf>
    <xf numFmtId="175" fontId="31" fillId="35" borderId="11" xfId="0" applyNumberFormat="1" applyFont="1" applyFill="1" applyBorder="1" applyAlignment="1">
      <alignment horizontal="center" vertical="center" wrapText="1"/>
    </xf>
    <xf numFmtId="0" fontId="88" fillId="37" borderId="11" xfId="0" applyFont="1" applyFill="1" applyBorder="1" applyAlignment="1">
      <alignment horizontal="right" vertical="center"/>
    </xf>
    <xf numFmtId="0" fontId="32" fillId="37" borderId="11" xfId="0" applyFont="1" applyFill="1" applyBorder="1" applyAlignment="1">
      <alignment horizontal="right" vertical="center"/>
    </xf>
    <xf numFmtId="169" fontId="32" fillId="37" borderId="11" xfId="61" applyNumberFormat="1" applyFont="1" applyFill="1" applyBorder="1" applyAlignment="1">
      <alignment horizontal="left" vertical="top" wrapText="1"/>
    </xf>
    <xf numFmtId="169" fontId="32" fillId="37" borderId="11" xfId="61" applyNumberFormat="1" applyFont="1" applyFill="1" applyBorder="1" applyAlignment="1">
      <alignment horizontal="center" vertical="center" wrapText="1"/>
    </xf>
    <xf numFmtId="2" fontId="31" fillId="37" borderId="11" xfId="0" applyNumberFormat="1" applyFont="1" applyFill="1" applyBorder="1" applyAlignment="1">
      <alignment horizontal="center" vertical="center" wrapText="1"/>
    </xf>
    <xf numFmtId="169" fontId="32" fillId="32" borderId="11" xfId="78" applyNumberFormat="1" applyFont="1" applyFill="1" applyBorder="1" applyAlignment="1">
      <alignment horizontal="center" vertical="center" wrapText="1"/>
    </xf>
    <xf numFmtId="2" fontId="43" fillId="32" borderId="11" xfId="0" applyNumberFormat="1" applyFont="1" applyFill="1" applyBorder="1" applyAlignment="1">
      <alignment horizontal="center" vertical="center" wrapText="1"/>
    </xf>
    <xf numFmtId="169" fontId="31" fillId="0" borderId="11" xfId="78" applyNumberFormat="1" applyFont="1" applyBorder="1" applyAlignment="1">
      <alignment vertical="center" wrapText="1"/>
    </xf>
    <xf numFmtId="169" fontId="31" fillId="24" borderId="11" xfId="78" applyNumberFormat="1" applyFont="1" applyFill="1" applyBorder="1" applyAlignment="1">
      <alignment vertical="center"/>
    </xf>
    <xf numFmtId="169" fontId="31" fillId="37" borderId="11" xfId="78" applyNumberFormat="1" applyFont="1" applyFill="1" applyBorder="1" applyAlignment="1">
      <alignment vertical="center" wrapText="1"/>
    </xf>
    <xf numFmtId="169" fontId="31" fillId="37" borderId="11" xfId="61" applyNumberFormat="1" applyFont="1" applyFill="1" applyBorder="1" applyAlignment="1">
      <alignment vertical="center" wrapText="1"/>
    </xf>
    <xf numFmtId="169" fontId="31" fillId="37" borderId="11" xfId="78" applyNumberFormat="1" applyFont="1" applyFill="1" applyBorder="1" applyAlignment="1">
      <alignment vertical="center"/>
    </xf>
    <xf numFmtId="169" fontId="31" fillId="37" borderId="11" xfId="61" applyNumberFormat="1" applyFont="1" applyFill="1" applyBorder="1" applyAlignment="1">
      <alignment vertical="center"/>
    </xf>
    <xf numFmtId="2" fontId="31" fillId="24" borderId="11" xfId="0" applyNumberFormat="1" applyFont="1" applyFill="1" applyBorder="1" applyAlignment="1">
      <alignment vertical="center"/>
    </xf>
    <xf numFmtId="169" fontId="31" fillId="29" borderId="11" xfId="78" applyNumberFormat="1" applyFont="1" applyFill="1" applyBorder="1" applyAlignment="1">
      <alignment vertical="center" wrapText="1"/>
    </xf>
    <xf numFmtId="2" fontId="38" fillId="30" borderId="11" xfId="0" applyNumberFormat="1" applyFont="1" applyFill="1" applyBorder="1" applyAlignment="1">
      <alignment horizontal="center" vertical="center" wrapText="1"/>
    </xf>
    <xf numFmtId="0" fontId="38" fillId="30" borderId="11" xfId="0" applyFont="1" applyFill="1" applyBorder="1" applyAlignment="1">
      <alignment horizontal="center" vertical="center"/>
    </xf>
    <xf numFmtId="2" fontId="38" fillId="30" borderId="11" xfId="0" applyNumberFormat="1" applyFont="1" applyFill="1" applyBorder="1" applyAlignment="1">
      <alignment vertical="center" wrapText="1"/>
    </xf>
    <xf numFmtId="169" fontId="31" fillId="0" borderId="11" xfId="78" applyNumberFormat="1" applyFont="1" applyBorder="1" applyAlignment="1">
      <alignment horizontal="center" vertical="center" wrapText="1"/>
    </xf>
    <xf numFmtId="169" fontId="31" fillId="0" borderId="11" xfId="61" applyNumberFormat="1" applyFont="1" applyBorder="1" applyAlignment="1">
      <alignment vertical="center" wrapText="1"/>
    </xf>
    <xf numFmtId="2" fontId="60" fillId="0" borderId="43" xfId="0" applyNumberFormat="1" applyFont="1" applyBorder="1" applyAlignment="1">
      <alignment vertical="center"/>
    </xf>
    <xf numFmtId="2" fontId="60" fillId="0" borderId="44" xfId="0" applyNumberFormat="1" applyFont="1" applyBorder="1" applyAlignment="1">
      <alignment vertical="center" wrapText="1"/>
    </xf>
    <xf numFmtId="2" fontId="54" fillId="0" borderId="44" xfId="0" applyNumberFormat="1" applyFont="1" applyBorder="1" applyAlignment="1">
      <alignment vertical="center" wrapText="1"/>
    </xf>
    <xf numFmtId="2" fontId="54" fillId="0" borderId="45" xfId="0" applyNumberFormat="1" applyFont="1" applyBorder="1" applyAlignment="1">
      <alignment vertical="center" wrapText="1"/>
    </xf>
    <xf numFmtId="0" fontId="31" fillId="24" borderId="0" xfId="0" applyFont="1" applyFill="1" applyAlignment="1">
      <alignment vertical="top"/>
    </xf>
    <xf numFmtId="166" fontId="38" fillId="27" borderId="11" xfId="78" applyFont="1" applyFill="1" applyBorder="1" applyAlignment="1">
      <alignment horizontal="center" vertical="center" wrapText="1"/>
    </xf>
    <xf numFmtId="169" fontId="38" fillId="25" borderId="11" xfId="78" applyNumberFormat="1" applyFont="1" applyFill="1" applyBorder="1" applyAlignment="1">
      <alignment horizontal="center" vertical="center" wrapText="1"/>
    </xf>
    <xf numFmtId="166" fontId="32" fillId="27" borderId="11" xfId="78" applyFont="1" applyFill="1" applyBorder="1" applyAlignment="1">
      <alignment vertical="center" wrapText="1"/>
    </xf>
    <xf numFmtId="169" fontId="32" fillId="25" borderId="11" xfId="78" applyNumberFormat="1" applyFont="1" applyFill="1" applyBorder="1" applyAlignment="1">
      <alignment vertical="center" wrapText="1"/>
    </xf>
    <xf numFmtId="166" fontId="32" fillId="27" borderId="11" xfId="78" applyFont="1" applyFill="1" applyBorder="1" applyAlignment="1">
      <alignment vertical="center"/>
    </xf>
    <xf numFmtId="169" fontId="32" fillId="25" borderId="11" xfId="78" applyNumberFormat="1" applyFont="1" applyFill="1" applyBorder="1" applyAlignment="1">
      <alignment vertical="center"/>
    </xf>
    <xf numFmtId="0" fontId="31" fillId="0" borderId="11" xfId="0" applyFont="1" applyBorder="1" applyAlignment="1">
      <alignment vertical="top"/>
    </xf>
    <xf numFmtId="169" fontId="32" fillId="25" borderId="11" xfId="78" applyNumberFormat="1" applyFont="1" applyFill="1" applyBorder="1" applyAlignment="1">
      <alignment vertical="top"/>
    </xf>
    <xf numFmtId="0" fontId="31" fillId="24" borderId="12" xfId="0" applyFont="1" applyFill="1" applyBorder="1" applyAlignment="1">
      <alignment vertical="top"/>
    </xf>
    <xf numFmtId="2" fontId="50" fillId="30" borderId="0" xfId="0" applyNumberFormat="1" applyFont="1" applyFill="1" applyAlignment="1">
      <alignment horizontal="right" vertical="center"/>
    </xf>
    <xf numFmtId="2" fontId="31" fillId="30" borderId="0" xfId="0" applyNumberFormat="1" applyFont="1" applyFill="1" applyAlignment="1">
      <alignment horizontal="center" vertical="center" wrapText="1"/>
    </xf>
    <xf numFmtId="0" fontId="64" fillId="30" borderId="0" xfId="0" applyFont="1" applyFill="1" applyAlignment="1">
      <alignment horizontal="right"/>
    </xf>
    <xf numFmtId="172" fontId="63" fillId="30" borderId="0" xfId="0" applyNumberFormat="1" applyFont="1" applyFill="1"/>
    <xf numFmtId="0" fontId="31" fillId="30" borderId="0" xfId="0" applyFont="1" applyFill="1" applyAlignment="1">
      <alignment horizontal="center" vertical="center"/>
    </xf>
    <xf numFmtId="2" fontId="31" fillId="30" borderId="0" xfId="0" applyNumberFormat="1" applyFont="1" applyFill="1" applyAlignment="1">
      <alignment vertical="center" wrapText="1"/>
    </xf>
    <xf numFmtId="172" fontId="63" fillId="30" borderId="0" xfId="0" applyNumberFormat="1" applyFont="1" applyFill="1" applyAlignment="1">
      <alignment horizontal="left"/>
    </xf>
    <xf numFmtId="172" fontId="46" fillId="30" borderId="0" xfId="0" applyNumberFormat="1" applyFont="1" applyFill="1"/>
    <xf numFmtId="2" fontId="47" fillId="30" borderId="0" xfId="0" applyNumberFormat="1" applyFont="1" applyFill="1" applyAlignment="1">
      <alignment horizontal="right"/>
    </xf>
    <xf numFmtId="0" fontId="47" fillId="30" borderId="0" xfId="0" applyFont="1" applyFill="1" applyAlignment="1">
      <alignment horizontal="right"/>
    </xf>
    <xf numFmtId="2" fontId="32" fillId="24" borderId="0" xfId="0" applyNumberFormat="1" applyFont="1" applyFill="1" applyAlignment="1">
      <alignment vertical="center"/>
    </xf>
    <xf numFmtId="0" fontId="64" fillId="24" borderId="0" xfId="0" applyFont="1" applyFill="1" applyAlignment="1">
      <alignment horizontal="center" vertical="center"/>
    </xf>
    <xf numFmtId="2" fontId="31" fillId="24" borderId="12" xfId="0" applyNumberFormat="1" applyFont="1" applyFill="1" applyBorder="1" applyAlignment="1">
      <alignment horizontal="center" vertical="center" wrapText="1"/>
    </xf>
    <xf numFmtId="164" fontId="35" fillId="28" borderId="24" xfId="89" applyNumberFormat="1" applyFont="1" applyFill="1" applyBorder="1" applyAlignment="1">
      <alignment vertical="center"/>
    </xf>
    <xf numFmtId="1" fontId="31" fillId="0" borderId="41" xfId="38" applyNumberFormat="1" applyFont="1" applyFill="1" applyBorder="1" applyAlignment="1">
      <alignment horizontal="center" vertical="center"/>
    </xf>
    <xf numFmtId="1" fontId="31" fillId="24" borderId="41" xfId="38" applyNumberFormat="1" applyFont="1" applyFill="1" applyBorder="1" applyAlignment="1">
      <alignment horizontal="center" vertical="center"/>
    </xf>
    <xf numFmtId="1" fontId="31" fillId="24" borderId="41" xfId="64" applyNumberFormat="1" applyFont="1" applyFill="1" applyBorder="1" applyAlignment="1">
      <alignment horizontal="center" vertical="center"/>
    </xf>
    <xf numFmtId="165" fontId="31" fillId="0" borderId="12" xfId="45" applyNumberFormat="1" applyFont="1" applyBorder="1" applyAlignment="1">
      <alignment vertical="center"/>
    </xf>
    <xf numFmtId="169" fontId="66" fillId="24" borderId="63" xfId="41" applyNumberFormat="1" applyFont="1" applyFill="1" applyBorder="1" applyAlignment="1">
      <alignment vertical="center"/>
    </xf>
    <xf numFmtId="0" fontId="66" fillId="24" borderId="62" xfId="41" applyFont="1" applyFill="1" applyBorder="1" applyAlignment="1">
      <alignment vertical="center"/>
    </xf>
    <xf numFmtId="169" fontId="66" fillId="24" borderId="64" xfId="41" applyNumberFormat="1" applyFont="1" applyFill="1" applyBorder="1" applyAlignment="1">
      <alignment vertical="center"/>
    </xf>
    <xf numFmtId="0" fontId="66" fillId="24" borderId="67" xfId="41" applyFont="1" applyFill="1" applyBorder="1" applyAlignment="1">
      <alignment horizontal="center" vertical="center"/>
    </xf>
    <xf numFmtId="0" fontId="66" fillId="24" borderId="67" xfId="41" applyFont="1" applyFill="1" applyBorder="1" applyAlignment="1">
      <alignment horizontal="left" vertical="center"/>
    </xf>
    <xf numFmtId="0" fontId="66" fillId="0" borderId="67" xfId="41" applyFont="1" applyFill="1" applyBorder="1" applyAlignment="1">
      <alignment vertical="center"/>
    </xf>
    <xf numFmtId="168" fontId="66" fillId="24" borderId="67" xfId="41" applyNumberFormat="1" applyFont="1" applyFill="1" applyBorder="1" applyAlignment="1" applyProtection="1">
      <alignment horizontal="center" vertical="center"/>
    </xf>
    <xf numFmtId="0" fontId="66" fillId="24" borderId="67" xfId="41" applyFont="1" applyFill="1" applyBorder="1" applyAlignment="1">
      <alignment vertical="center"/>
    </xf>
    <xf numFmtId="170" fontId="66" fillId="24" borderId="67" xfId="41" applyNumberFormat="1" applyFont="1" applyFill="1" applyBorder="1" applyAlignment="1">
      <alignment horizontal="left" vertical="center"/>
    </xf>
    <xf numFmtId="164" fontId="66" fillId="0" borderId="68" xfId="41" applyNumberFormat="1" applyFont="1" applyFill="1" applyBorder="1" applyAlignment="1">
      <alignment vertical="center"/>
    </xf>
    <xf numFmtId="2" fontId="50" fillId="30" borderId="44" xfId="0" applyNumberFormat="1" applyFont="1" applyFill="1" applyBorder="1" applyAlignment="1">
      <alignment horizontal="right"/>
    </xf>
    <xf numFmtId="2" fontId="39" fillId="30" borderId="44" xfId="0" applyNumberFormat="1" applyFont="1" applyFill="1" applyBorder="1" applyAlignment="1">
      <alignment horizontal="right" vertical="center"/>
    </xf>
    <xf numFmtId="169" fontId="50" fillId="24" borderId="43" xfId="61" applyNumberFormat="1" applyFont="1" applyFill="1" applyBorder="1" applyAlignment="1">
      <alignment horizontal="left" vertical="center" wrapText="1"/>
    </xf>
    <xf numFmtId="2" fontId="31" fillId="24" borderId="45" xfId="0" applyNumberFormat="1" applyFont="1" applyFill="1" applyBorder="1" applyAlignment="1">
      <alignment vertical="center" wrapText="1"/>
    </xf>
    <xf numFmtId="2" fontId="31" fillId="30" borderId="10" xfId="0" applyNumberFormat="1" applyFont="1" applyFill="1" applyBorder="1" applyAlignment="1">
      <alignment horizontal="center" vertical="center" wrapText="1"/>
    </xf>
    <xf numFmtId="0" fontId="37" fillId="24" borderId="12" xfId="0" applyFont="1" applyFill="1" applyBorder="1" applyAlignment="1">
      <alignment horizontal="left" vertical="center"/>
    </xf>
    <xf numFmtId="0" fontId="32" fillId="30" borderId="15" xfId="0" applyFont="1" applyFill="1" applyBorder="1" applyAlignment="1">
      <alignment horizontal="center" vertical="center"/>
    </xf>
    <xf numFmtId="2" fontId="44" fillId="30" borderId="15" xfId="0" applyNumberFormat="1" applyFont="1" applyFill="1" applyBorder="1" applyAlignment="1">
      <alignment horizontal="right" vertical="center"/>
    </xf>
    <xf numFmtId="169" fontId="39" fillId="24" borderId="16" xfId="61" applyNumberFormat="1" applyFont="1" applyFill="1" applyBorder="1" applyAlignment="1">
      <alignment horizontal="left" vertical="center" wrapText="1"/>
    </xf>
    <xf numFmtId="2" fontId="32" fillId="24" borderId="44" xfId="0" applyNumberFormat="1" applyFont="1" applyFill="1" applyBorder="1" applyAlignment="1">
      <alignment horizontal="left" vertical="center"/>
    </xf>
    <xf numFmtId="0" fontId="37" fillId="24" borderId="16" xfId="0" applyFont="1" applyFill="1" applyBorder="1" applyAlignment="1">
      <alignment horizontal="left" vertical="center"/>
    </xf>
    <xf numFmtId="0" fontId="37" fillId="24" borderId="15" xfId="0" applyFont="1" applyFill="1" applyBorder="1" applyAlignment="1">
      <alignment horizontal="left" vertical="center"/>
    </xf>
    <xf numFmtId="0" fontId="37" fillId="24" borderId="15" xfId="0" applyFont="1" applyFill="1" applyBorder="1" applyAlignment="1">
      <alignment horizontal="center" vertical="center"/>
    </xf>
    <xf numFmtId="0" fontId="65" fillId="30" borderId="57" xfId="0" applyFont="1" applyFill="1" applyBorder="1"/>
    <xf numFmtId="0" fontId="64" fillId="30" borderId="39" xfId="0" applyFont="1" applyFill="1" applyBorder="1" applyAlignment="1">
      <alignment horizontal="center" vertical="center"/>
    </xf>
    <xf numFmtId="0" fontId="31" fillId="30" borderId="39" xfId="0" applyFont="1" applyFill="1" applyBorder="1" applyAlignment="1">
      <alignment horizontal="center" vertical="center"/>
    </xf>
    <xf numFmtId="14" fontId="63" fillId="30" borderId="48" xfId="0" applyNumberFormat="1" applyFont="1" applyFill="1" applyBorder="1" applyAlignment="1">
      <alignment horizontal="left" vertical="center"/>
    </xf>
    <xf numFmtId="2" fontId="31" fillId="30" borderId="44" xfId="0" applyNumberFormat="1" applyFont="1" applyFill="1" applyBorder="1" applyAlignment="1">
      <alignment horizontal="center" vertical="center" wrapText="1"/>
    </xf>
    <xf numFmtId="0" fontId="64" fillId="30" borderId="44" xfId="0" applyFont="1" applyFill="1" applyBorder="1" applyAlignment="1">
      <alignment horizontal="right"/>
    </xf>
    <xf numFmtId="14" fontId="63" fillId="30" borderId="44" xfId="0" applyNumberFormat="1" applyFont="1" applyFill="1" applyBorder="1" applyAlignment="1">
      <alignment horizontal="left"/>
    </xf>
    <xf numFmtId="0" fontId="31" fillId="30" borderId="44" xfId="0" applyFont="1" applyFill="1" applyBorder="1" applyAlignment="1">
      <alignment horizontal="center" vertical="center"/>
    </xf>
    <xf numFmtId="2" fontId="31" fillId="30" borderId="44" xfId="0" applyNumberFormat="1" applyFont="1" applyFill="1" applyBorder="1" applyAlignment="1">
      <alignment vertical="center" wrapText="1"/>
    </xf>
    <xf numFmtId="2" fontId="31" fillId="30" borderId="45" xfId="0" applyNumberFormat="1" applyFont="1" applyFill="1" applyBorder="1" applyAlignment="1">
      <alignment vertical="center" wrapText="1"/>
    </xf>
    <xf numFmtId="2" fontId="31" fillId="30" borderId="12" xfId="0" applyNumberFormat="1" applyFont="1" applyFill="1" applyBorder="1" applyAlignment="1">
      <alignment vertical="center" wrapText="1"/>
    </xf>
    <xf numFmtId="2" fontId="31" fillId="30" borderId="15" xfId="0" applyNumberFormat="1" applyFont="1" applyFill="1" applyBorder="1" applyAlignment="1">
      <alignment horizontal="center" vertical="center" wrapText="1"/>
    </xf>
    <xf numFmtId="2" fontId="47" fillId="30" borderId="15" xfId="0" applyNumberFormat="1" applyFont="1" applyFill="1" applyBorder="1" applyAlignment="1">
      <alignment horizontal="right"/>
    </xf>
    <xf numFmtId="0" fontId="31" fillId="30" borderId="15" xfId="0" applyFont="1" applyFill="1" applyBorder="1" applyAlignment="1">
      <alignment horizontal="center" vertical="center"/>
    </xf>
    <xf numFmtId="2" fontId="31" fillId="30" borderId="15" xfId="0" applyNumberFormat="1" applyFont="1" applyFill="1" applyBorder="1" applyAlignment="1">
      <alignment vertical="center" wrapText="1"/>
    </xf>
    <xf numFmtId="2" fontId="31" fillId="30" borderId="34" xfId="0" applyNumberFormat="1" applyFont="1" applyFill="1" applyBorder="1" applyAlignment="1">
      <alignment vertical="center" wrapText="1"/>
    </xf>
    <xf numFmtId="165" fontId="31" fillId="0" borderId="60" xfId="45" applyNumberFormat="1" applyFont="1" applyBorder="1" applyAlignment="1">
      <alignment vertical="center"/>
    </xf>
    <xf numFmtId="165" fontId="31" fillId="0" borderId="61" xfId="45" applyNumberFormat="1" applyFont="1" applyBorder="1" applyAlignment="1">
      <alignment vertical="center"/>
    </xf>
    <xf numFmtId="0" fontId="36" fillId="31" borderId="48" xfId="0" applyFont="1" applyFill="1" applyBorder="1" applyAlignment="1">
      <alignment horizontal="center" vertical="center" wrapText="1"/>
    </xf>
    <xf numFmtId="0" fontId="31" fillId="34" borderId="69" xfId="38" applyNumberFormat="1" applyFont="1" applyFill="1" applyBorder="1" applyAlignment="1">
      <alignment vertical="center" wrapText="1"/>
    </xf>
    <xf numFmtId="0" fontId="58" fillId="7" borderId="70" xfId="84" applyFont="1" applyBorder="1" applyAlignment="1">
      <alignment horizontal="justify" vertical="center"/>
    </xf>
    <xf numFmtId="0" fontId="31" fillId="34" borderId="69" xfId="64" applyFont="1" applyFill="1" applyBorder="1" applyAlignment="1">
      <alignment horizontal="justify" vertical="center" wrapText="1"/>
    </xf>
    <xf numFmtId="0" fontId="32" fillId="34" borderId="69" xfId="64" applyFont="1" applyFill="1" applyBorder="1" applyAlignment="1">
      <alignment horizontal="justify" vertical="center" wrapText="1"/>
    </xf>
    <xf numFmtId="0" fontId="31" fillId="34" borderId="69" xfId="64" applyFont="1" applyFill="1" applyBorder="1" applyAlignment="1">
      <alignment horizontal="right" vertical="center" wrapText="1"/>
    </xf>
    <xf numFmtId="0" fontId="31" fillId="34" borderId="71" xfId="64" applyFont="1" applyFill="1" applyBorder="1" applyAlignment="1">
      <alignment horizontal="justify" vertical="center" wrapText="1"/>
    </xf>
    <xf numFmtId="0" fontId="35" fillId="28" borderId="24" xfId="89" applyFont="1" applyFill="1" applyBorder="1" applyAlignment="1">
      <alignment horizontal="center" vertical="center"/>
    </xf>
    <xf numFmtId="1" fontId="31" fillId="34" borderId="72" xfId="38" applyNumberFormat="1" applyFont="1" applyFill="1" applyBorder="1" applyAlignment="1">
      <alignment horizontal="center" vertical="center"/>
    </xf>
    <xf numFmtId="1" fontId="31" fillId="24" borderId="52" xfId="64" applyNumberFormat="1" applyFont="1" applyFill="1" applyBorder="1" applyAlignment="1">
      <alignment horizontal="center" vertical="center"/>
    </xf>
    <xf numFmtId="1" fontId="31" fillId="34" borderId="73" xfId="38" applyNumberFormat="1" applyFont="1" applyFill="1" applyBorder="1" applyAlignment="1">
      <alignment horizontal="center" vertical="center"/>
    </xf>
    <xf numFmtId="0" fontId="66" fillId="0" borderId="11" xfId="41" applyFont="1" applyFill="1" applyBorder="1" applyAlignment="1">
      <alignment vertical="center"/>
    </xf>
    <xf numFmtId="0" fontId="66" fillId="24" borderId="11" xfId="41" applyFont="1" applyFill="1" applyBorder="1" applyAlignment="1">
      <alignment vertical="center"/>
    </xf>
    <xf numFmtId="0" fontId="66" fillId="24" borderId="11" xfId="41" applyFont="1" applyFill="1" applyBorder="1" applyAlignment="1">
      <alignment horizontal="right" vertical="center"/>
    </xf>
    <xf numFmtId="173" fontId="66" fillId="0" borderId="11" xfId="63" applyNumberFormat="1" applyFont="1" applyFill="1" applyBorder="1" applyAlignment="1">
      <alignment vertical="center"/>
    </xf>
    <xf numFmtId="164" fontId="66" fillId="0" borderId="11" xfId="41" applyNumberFormat="1" applyFont="1" applyFill="1" applyBorder="1" applyAlignment="1">
      <alignment vertical="center"/>
    </xf>
    <xf numFmtId="164" fontId="66" fillId="24" borderId="11" xfId="41" applyNumberFormat="1" applyFont="1" applyFill="1" applyBorder="1" applyAlignment="1">
      <alignment vertical="center"/>
    </xf>
    <xf numFmtId="1" fontId="31" fillId="24" borderId="52" xfId="38" applyNumberFormat="1" applyFont="1" applyFill="1" applyBorder="1" applyAlignment="1">
      <alignment horizontal="center" vertical="center"/>
    </xf>
    <xf numFmtId="1" fontId="31" fillId="34" borderId="75" xfId="38" applyNumberFormat="1" applyFont="1" applyFill="1" applyBorder="1" applyAlignment="1">
      <alignment horizontal="center" vertical="center"/>
    </xf>
    <xf numFmtId="0" fontId="31" fillId="34" borderId="71" xfId="38" applyNumberFormat="1" applyFont="1" applyFill="1" applyBorder="1" applyAlignment="1">
      <alignment vertical="center" wrapText="1"/>
    </xf>
    <xf numFmtId="0" fontId="35" fillId="28" borderId="76" xfId="89" applyFont="1" applyFill="1" applyBorder="1" applyAlignment="1">
      <alignment horizontal="center" vertical="center"/>
    </xf>
    <xf numFmtId="0" fontId="35" fillId="28" borderId="11" xfId="89" applyFont="1" applyFill="1" applyBorder="1" applyAlignment="1">
      <alignment horizontal="center" vertical="center"/>
    </xf>
    <xf numFmtId="0" fontId="35" fillId="28" borderId="39" xfId="89" applyFont="1" applyFill="1" applyBorder="1" applyAlignment="1">
      <alignment vertical="center"/>
    </xf>
    <xf numFmtId="173" fontId="35" fillId="28" borderId="39" xfId="48" applyNumberFormat="1" applyFont="1" applyFill="1" applyBorder="1" applyAlignment="1">
      <alignment horizontal="center" vertical="center"/>
    </xf>
    <xf numFmtId="173" fontId="35" fillId="28" borderId="39" xfId="48" applyNumberFormat="1" applyFont="1" applyFill="1" applyBorder="1" applyAlignment="1">
      <alignment vertical="center"/>
    </xf>
    <xf numFmtId="164" fontId="35" fillId="28" borderId="11" xfId="89" applyNumberFormat="1" applyFont="1" applyFill="1" applyBorder="1" applyAlignment="1">
      <alignment vertical="center"/>
    </xf>
    <xf numFmtId="0" fontId="45" fillId="34" borderId="69" xfId="64" applyFont="1" applyFill="1" applyBorder="1" applyAlignment="1">
      <alignment horizontal="justify" vertical="center" wrapText="1"/>
    </xf>
    <xf numFmtId="169" fontId="32" fillId="25" borderId="51" xfId="78" applyNumberFormat="1" applyFont="1" applyFill="1" applyBorder="1" applyAlignment="1">
      <alignment horizontal="center" vertical="center" wrapText="1"/>
    </xf>
    <xf numFmtId="169" fontId="32" fillId="25" borderId="77" xfId="78" applyNumberFormat="1" applyFont="1" applyFill="1" applyBorder="1" applyAlignment="1">
      <alignment horizontal="center" vertical="center" wrapText="1"/>
    </xf>
    <xf numFmtId="169" fontId="32" fillId="25" borderId="24" xfId="78" applyNumberFormat="1" applyFont="1" applyFill="1" applyBorder="1" applyAlignment="1">
      <alignment horizontal="center" vertical="center" wrapText="1"/>
    </xf>
    <xf numFmtId="166" fontId="32" fillId="27" borderId="51" xfId="78" applyFont="1" applyFill="1" applyBorder="1" applyAlignment="1">
      <alignment horizontal="center" vertical="center" wrapText="1"/>
    </xf>
    <xf numFmtId="166" fontId="32" fillId="27" borderId="77" xfId="78" applyFont="1" applyFill="1" applyBorder="1" applyAlignment="1">
      <alignment horizontal="center" vertical="center" wrapText="1"/>
    </xf>
    <xf numFmtId="166" fontId="32" fillId="27" borderId="24" xfId="78" applyFont="1" applyFill="1" applyBorder="1" applyAlignment="1">
      <alignment horizontal="center" vertical="center" wrapText="1"/>
    </xf>
    <xf numFmtId="0" fontId="66" fillId="24" borderId="62" xfId="41" applyFont="1" applyFill="1" applyBorder="1" applyAlignment="1">
      <alignment horizontal="left" vertical="center"/>
    </xf>
    <xf numFmtId="0" fontId="66" fillId="24" borderId="17" xfId="41" applyFont="1" applyFill="1" applyBorder="1" applyAlignment="1">
      <alignment horizontal="left" vertical="center"/>
    </xf>
    <xf numFmtId="0" fontId="66" fillId="24" borderId="65" xfId="41" applyFont="1" applyFill="1" applyBorder="1" applyAlignment="1">
      <alignment horizontal="left" vertical="center"/>
    </xf>
    <xf numFmtId="0" fontId="66" fillId="24" borderId="66" xfId="41" applyFont="1" applyFill="1" applyBorder="1" applyAlignment="1">
      <alignment horizontal="left" vertical="center"/>
    </xf>
    <xf numFmtId="177" fontId="67" fillId="33" borderId="58" xfId="38" applyNumberFormat="1" applyFont="1" applyFill="1" applyBorder="1" applyAlignment="1">
      <alignment horizontal="center" vertical="center"/>
    </xf>
    <xf numFmtId="177" fontId="67" fillId="33" borderId="46" xfId="38" applyNumberFormat="1" applyFont="1" applyFill="1" applyBorder="1" applyAlignment="1">
      <alignment horizontal="center" vertical="center"/>
    </xf>
    <xf numFmtId="177" fontId="67" fillId="33" borderId="59" xfId="38" applyNumberFormat="1" applyFont="1" applyFill="1" applyBorder="1" applyAlignment="1">
      <alignment horizontal="center" vertical="center"/>
    </xf>
    <xf numFmtId="14" fontId="63" fillId="24" borderId="0" xfId="0" applyNumberFormat="1" applyFont="1" applyFill="1" applyAlignment="1">
      <alignment horizontal="center" vertical="center"/>
    </xf>
    <xf numFmtId="0" fontId="62" fillId="24" borderId="0" xfId="92" applyFont="1" applyFill="1" applyBorder="1" applyAlignment="1">
      <alignment horizontal="center"/>
    </xf>
    <xf numFmtId="0" fontId="66" fillId="24" borderId="11" xfId="41" applyFont="1" applyFill="1" applyBorder="1" applyAlignment="1">
      <alignment horizontal="left" vertical="center"/>
    </xf>
    <xf numFmtId="0" fontId="66" fillId="24" borderId="74" xfId="41" applyFont="1" applyFill="1" applyBorder="1" applyAlignment="1">
      <alignment horizontal="left" vertical="center"/>
    </xf>
    <xf numFmtId="0" fontId="66" fillId="24" borderId="22" xfId="41" applyFont="1" applyFill="1" applyBorder="1" applyAlignment="1">
      <alignment horizontal="left" vertical="center"/>
    </xf>
    <xf numFmtId="0" fontId="66" fillId="24" borderId="57" xfId="41" applyFont="1" applyFill="1" applyBorder="1" applyAlignment="1">
      <alignment horizontal="center" vertical="center"/>
    </xf>
    <xf numFmtId="0" fontId="66" fillId="24" borderId="39" xfId="41" applyFont="1" applyFill="1" applyBorder="1" applyAlignment="1">
      <alignment horizontal="center" vertical="center"/>
    </xf>
    <xf numFmtId="0" fontId="66" fillId="24" borderId="48" xfId="41" applyFont="1" applyFill="1" applyBorder="1" applyAlignment="1">
      <alignment horizontal="center" vertical="center"/>
    </xf>
    <xf numFmtId="0" fontId="54" fillId="0" borderId="10" xfId="0" applyFont="1" applyBorder="1" applyAlignment="1">
      <alignment horizontal="left" indent="3"/>
    </xf>
    <xf numFmtId="0" fontId="54" fillId="0" borderId="0" xfId="0" applyFont="1" applyAlignment="1">
      <alignment horizontal="left" indent="3"/>
    </xf>
    <xf numFmtId="0" fontId="82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74" fillId="39" borderId="43" xfId="0" applyFont="1" applyFill="1" applyBorder="1" applyAlignment="1">
      <alignment horizontal="center" vertical="center"/>
    </xf>
    <xf numFmtId="0" fontId="68" fillId="39" borderId="44" xfId="0" applyFont="1" applyFill="1" applyBorder="1" applyAlignment="1">
      <alignment horizontal="center" vertical="center"/>
    </xf>
    <xf numFmtId="0" fontId="68" fillId="39" borderId="45" xfId="0" applyFont="1" applyFill="1" applyBorder="1" applyAlignment="1">
      <alignment horizontal="center" vertical="center"/>
    </xf>
    <xf numFmtId="0" fontId="68" fillId="39" borderId="10" xfId="0" applyFont="1" applyFill="1" applyBorder="1" applyAlignment="1">
      <alignment horizontal="center" vertical="center"/>
    </xf>
    <xf numFmtId="0" fontId="68" fillId="39" borderId="0" xfId="0" applyFont="1" applyFill="1" applyAlignment="1">
      <alignment horizontal="center" vertical="center"/>
    </xf>
    <xf numFmtId="0" fontId="68" fillId="39" borderId="12" xfId="0" applyFont="1" applyFill="1" applyBorder="1" applyAlignment="1">
      <alignment horizontal="center" vertical="center"/>
    </xf>
    <xf numFmtId="0" fontId="68" fillId="39" borderId="16" xfId="0" applyFont="1" applyFill="1" applyBorder="1" applyAlignment="1">
      <alignment horizontal="center" vertical="center"/>
    </xf>
    <xf numFmtId="0" fontId="68" fillId="39" borderId="15" xfId="0" applyFont="1" applyFill="1" applyBorder="1" applyAlignment="1">
      <alignment horizontal="center" vertical="center"/>
    </xf>
    <xf numFmtId="0" fontId="68" fillId="39" borderId="34" xfId="0" applyFont="1" applyFill="1" applyBorder="1" applyAlignment="1">
      <alignment horizontal="center" vertical="center"/>
    </xf>
    <xf numFmtId="0" fontId="76" fillId="0" borderId="21" xfId="0" applyFont="1" applyBorder="1" applyAlignment="1">
      <alignment horizontal="center"/>
    </xf>
    <xf numFmtId="0" fontId="78" fillId="0" borderId="21" xfId="0" applyFont="1" applyBorder="1" applyAlignment="1">
      <alignment horizontal="center"/>
    </xf>
    <xf numFmtId="0" fontId="79" fillId="0" borderId="21" xfId="0" applyFont="1" applyBorder="1" applyAlignment="1">
      <alignment horizontal="center"/>
    </xf>
    <xf numFmtId="0" fontId="80" fillId="0" borderId="21" xfId="0" applyFont="1" applyBorder="1" applyAlignment="1">
      <alignment horizontal="center"/>
    </xf>
    <xf numFmtId="0" fontId="77" fillId="0" borderId="21" xfId="0" applyFont="1" applyBorder="1" applyAlignment="1">
      <alignment horizontal="center"/>
    </xf>
    <xf numFmtId="0" fontId="81" fillId="0" borderId="21" xfId="0" applyFont="1" applyBorder="1" applyAlignment="1">
      <alignment horizontal="center"/>
    </xf>
    <xf numFmtId="167" fontId="54" fillId="0" borderId="0" xfId="63" applyFont="1" applyBorder="1" applyAlignment="1"/>
    <xf numFmtId="2" fontId="44" fillId="24" borderId="11" xfId="0" applyNumberFormat="1" applyFont="1" applyFill="1" applyBorder="1" applyAlignment="1">
      <alignment horizontal="center" vertical="center" wrapText="1"/>
    </xf>
    <xf numFmtId="2" fontId="39" fillId="32" borderId="11" xfId="0" applyNumberFormat="1" applyFont="1" applyFill="1" applyBorder="1" applyAlignment="1">
      <alignment horizontal="center" vertical="center" wrapText="1"/>
    </xf>
    <xf numFmtId="0" fontId="62" fillId="24" borderId="0" xfId="92" applyFont="1" applyFill="1" applyBorder="1" applyAlignment="1">
      <alignment horizontal="center" vertical="center" wrapText="1"/>
    </xf>
    <xf numFmtId="2" fontId="68" fillId="31" borderId="43" xfId="0" applyNumberFormat="1" applyFont="1" applyFill="1" applyBorder="1" applyAlignment="1">
      <alignment horizontal="center" vertical="center"/>
    </xf>
    <xf numFmtId="2" fontId="68" fillId="31" borderId="44" xfId="0" applyNumberFormat="1" applyFont="1" applyFill="1" applyBorder="1" applyAlignment="1">
      <alignment horizontal="center" vertical="center"/>
    </xf>
    <xf numFmtId="2" fontId="68" fillId="31" borderId="45" xfId="0" applyNumberFormat="1" applyFont="1" applyFill="1" applyBorder="1" applyAlignment="1">
      <alignment horizontal="center" vertical="center"/>
    </xf>
    <xf numFmtId="2" fontId="68" fillId="31" borderId="16" xfId="0" applyNumberFormat="1" applyFont="1" applyFill="1" applyBorder="1" applyAlignment="1">
      <alignment horizontal="center" vertical="center"/>
    </xf>
    <xf numFmtId="2" fontId="68" fillId="31" borderId="15" xfId="0" applyNumberFormat="1" applyFont="1" applyFill="1" applyBorder="1" applyAlignment="1">
      <alignment horizontal="center" vertical="center"/>
    </xf>
    <xf numFmtId="2" fontId="68" fillId="31" borderId="34" xfId="0" applyNumberFormat="1" applyFont="1" applyFill="1" applyBorder="1" applyAlignment="1">
      <alignment horizontal="center" vertical="center"/>
    </xf>
    <xf numFmtId="0" fontId="77" fillId="24" borderId="11" xfId="92" applyFont="1" applyFill="1" applyBorder="1" applyAlignment="1">
      <alignment horizontal="center" vertical="center"/>
    </xf>
    <xf numFmtId="0" fontId="69" fillId="33" borderId="11" xfId="77" applyFont="1" applyFill="1" applyBorder="1" applyAlignment="1">
      <alignment horizontal="center" vertical="center" wrapText="1"/>
    </xf>
    <xf numFmtId="0" fontId="84" fillId="24" borderId="11" xfId="92" applyFont="1" applyFill="1" applyBorder="1" applyAlignment="1">
      <alignment horizontal="center" vertical="center" wrapText="1"/>
    </xf>
    <xf numFmtId="172" fontId="63" fillId="24" borderId="0" xfId="0" applyNumberFormat="1" applyFont="1" applyFill="1" applyAlignment="1">
      <alignment horizontal="left" vertical="top" wrapText="1"/>
    </xf>
    <xf numFmtId="2" fontId="70" fillId="0" borderId="11" xfId="0" applyNumberFormat="1" applyFont="1" applyBorder="1" applyAlignment="1">
      <alignment horizontal="justify" vertical="center" wrapText="1"/>
    </xf>
    <xf numFmtId="2" fontId="71" fillId="32" borderId="11" xfId="0" applyNumberFormat="1" applyFont="1" applyFill="1" applyBorder="1" applyAlignment="1">
      <alignment horizontal="center" vertical="center" wrapText="1"/>
    </xf>
    <xf numFmtId="0" fontId="71" fillId="25" borderId="11" xfId="0" applyFont="1" applyFill="1" applyBorder="1" applyAlignment="1">
      <alignment horizontal="center" vertical="center" wrapText="1"/>
    </xf>
    <xf numFmtId="2" fontId="43" fillId="32" borderId="11" xfId="0" applyNumberFormat="1" applyFont="1" applyFill="1" applyBorder="1" applyAlignment="1">
      <alignment horizontal="center" vertical="center" wrapText="1"/>
    </xf>
    <xf numFmtId="2" fontId="72" fillId="24" borderId="11" xfId="0" applyNumberFormat="1" applyFont="1" applyFill="1" applyBorder="1" applyAlignment="1">
      <alignment horizontal="center" vertical="center" wrapText="1"/>
    </xf>
    <xf numFmtId="0" fontId="73" fillId="30" borderId="11" xfId="0" applyFont="1" applyFill="1" applyBorder="1" applyAlignment="1">
      <alignment horizontal="center" vertical="center"/>
    </xf>
    <xf numFmtId="0" fontId="32" fillId="37" borderId="11" xfId="0" applyFont="1" applyFill="1" applyBorder="1" applyAlignment="1">
      <alignment horizontal="right" vertical="center"/>
    </xf>
    <xf numFmtId="0" fontId="38" fillId="30" borderId="11" xfId="0" applyFont="1" applyFill="1" applyBorder="1" applyAlignment="1">
      <alignment horizontal="left" vertical="center"/>
    </xf>
    <xf numFmtId="0" fontId="52" fillId="0" borderId="11" xfId="0" applyFont="1" applyBorder="1" applyAlignment="1">
      <alignment horizontal="left" vertical="center" wrapText="1"/>
    </xf>
    <xf numFmtId="0" fontId="32" fillId="35" borderId="11" xfId="0" applyFont="1" applyFill="1" applyBorder="1" applyAlignment="1">
      <alignment horizontal="right" vertical="center"/>
    </xf>
    <xf numFmtId="0" fontId="52" fillId="0" borderId="11" xfId="0" applyFont="1" applyBorder="1" applyAlignment="1">
      <alignment horizontal="left" wrapText="1"/>
    </xf>
    <xf numFmtId="2" fontId="54" fillId="0" borderId="10" xfId="0" applyNumberFormat="1" applyFont="1" applyBorder="1" applyAlignment="1">
      <alignment horizontal="left" vertical="top" wrapText="1"/>
    </xf>
    <xf numFmtId="2" fontId="54" fillId="0" borderId="0" xfId="0" applyNumberFormat="1" applyFont="1" applyAlignment="1">
      <alignment horizontal="left" vertical="top" wrapText="1"/>
    </xf>
    <xf numFmtId="2" fontId="54" fillId="0" borderId="12" xfId="0" applyNumberFormat="1" applyFont="1" applyBorder="1" applyAlignment="1">
      <alignment horizontal="left" vertical="top" wrapText="1"/>
    </xf>
    <xf numFmtId="2" fontId="54" fillId="0" borderId="29" xfId="0" applyNumberFormat="1" applyFont="1" applyBorder="1" applyAlignment="1">
      <alignment horizontal="left" vertical="top" wrapText="1"/>
    </xf>
    <xf numFmtId="2" fontId="54" fillId="0" borderId="21" xfId="0" applyNumberFormat="1" applyFont="1" applyBorder="1" applyAlignment="1">
      <alignment horizontal="left" vertical="top" wrapText="1"/>
    </xf>
    <xf numFmtId="2" fontId="54" fillId="0" borderId="42" xfId="0" applyNumberFormat="1" applyFont="1" applyBorder="1" applyAlignment="1">
      <alignment horizontal="left" vertical="top" wrapText="1"/>
    </xf>
    <xf numFmtId="0" fontId="59" fillId="26" borderId="28" xfId="0" applyFont="1" applyFill="1" applyBorder="1" applyAlignment="1">
      <alignment horizontal="center" vertical="center"/>
    </xf>
    <xf numFmtId="0" fontId="59" fillId="26" borderId="14" xfId="0" applyFont="1" applyFill="1" applyBorder="1" applyAlignment="1">
      <alignment horizontal="center" vertical="center"/>
    </xf>
    <xf numFmtId="0" fontId="59" fillId="26" borderId="19" xfId="0" applyFont="1" applyFill="1" applyBorder="1" applyAlignment="1">
      <alignment horizontal="center" vertical="center"/>
    </xf>
    <xf numFmtId="0" fontId="59" fillId="26" borderId="56" xfId="0" applyFont="1" applyFill="1" applyBorder="1" applyAlignment="1">
      <alignment horizontal="center" vertical="center"/>
    </xf>
    <xf numFmtId="0" fontId="92" fillId="24" borderId="18" xfId="92" applyFont="1" applyFill="1" applyBorder="1" applyAlignment="1">
      <alignment horizontal="center"/>
    </xf>
    <xf numFmtId="0" fontId="92" fillId="24" borderId="19" xfId="92" applyFont="1" applyFill="1" applyBorder="1" applyAlignment="1">
      <alignment horizontal="center"/>
    </xf>
    <xf numFmtId="0" fontId="92" fillId="24" borderId="20" xfId="92" applyFont="1" applyFill="1" applyBorder="1" applyAlignment="1">
      <alignment horizontal="center"/>
    </xf>
  </cellXfs>
  <cellStyles count="100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63" builtinId="3"/>
    <cellStyle name="Comma 2" xfId="46" xr:uid="{00000000-0005-0000-0000-00001C000000}"/>
    <cellStyle name="Comma 2 2" xfId="48" xr:uid="{00000000-0005-0000-0000-00001D000000}"/>
    <cellStyle name="Currency" xfId="61" builtinId="4"/>
    <cellStyle name="Currency 2" xfId="50" xr:uid="{00000000-0005-0000-0000-00001F000000}"/>
    <cellStyle name="Currency 3" xfId="75" xr:uid="{00000000-0005-0000-0000-000020000000}"/>
    <cellStyle name="Currency 4" xfId="78" xr:uid="{00000000-0005-0000-0000-000021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92" builtinId="8"/>
    <cellStyle name="Input" xfId="34" builtinId="20" customBuiltin="1"/>
    <cellStyle name="Input 2" xfId="84" xr:uid="{00000000-0005-0000-0000-00002A000000}"/>
    <cellStyle name="Input 3" xfId="91" xr:uid="{00000000-0005-0000-0000-00002B000000}"/>
    <cellStyle name="Linked Cell" xfId="35" builtinId="24" customBuiltin="1"/>
    <cellStyle name="Neutral" xfId="36" builtinId="28" customBuiltin="1"/>
    <cellStyle name="Normal" xfId="0" builtinId="0"/>
    <cellStyle name="Normal 10" xfId="69" xr:uid="{00000000-0005-0000-0000-00002F000000}"/>
    <cellStyle name="Normal 11" xfId="97" xr:uid="{00000000-0005-0000-0000-000030000000}"/>
    <cellStyle name="Normal 12" xfId="96" xr:uid="{00000000-0005-0000-0000-000031000000}"/>
    <cellStyle name="Normal 13" xfId="99" xr:uid="{00000000-0005-0000-0000-000032000000}"/>
    <cellStyle name="Normal 2" xfId="44" xr:uid="{00000000-0005-0000-0000-000033000000}"/>
    <cellStyle name="Normal 2 2" xfId="47" xr:uid="{00000000-0005-0000-0000-000034000000}"/>
    <cellStyle name="Normal 2 3" xfId="45" xr:uid="{00000000-0005-0000-0000-000035000000}"/>
    <cellStyle name="Normal 2 3 2" xfId="52" xr:uid="{00000000-0005-0000-0000-000036000000}"/>
    <cellStyle name="Normal 3" xfId="37" xr:uid="{00000000-0005-0000-0000-000037000000}"/>
    <cellStyle name="Normal 4" xfId="43" xr:uid="{00000000-0005-0000-0000-000038000000}"/>
    <cellStyle name="Normal 4 2" xfId="53" xr:uid="{00000000-0005-0000-0000-000039000000}"/>
    <cellStyle name="Normal 4 2 2" xfId="58" xr:uid="{00000000-0005-0000-0000-00003A000000}"/>
    <cellStyle name="Normal 4 3" xfId="51" xr:uid="{00000000-0005-0000-0000-00003B000000}"/>
    <cellStyle name="Normal 4 3 2" xfId="57" xr:uid="{00000000-0005-0000-0000-00003C000000}"/>
    <cellStyle name="Normal 4 4" xfId="56" xr:uid="{00000000-0005-0000-0000-00003D000000}"/>
    <cellStyle name="Normal 5" xfId="49" xr:uid="{00000000-0005-0000-0000-00003E000000}"/>
    <cellStyle name="Normal 6" xfId="55" xr:uid="{00000000-0005-0000-0000-00003F000000}"/>
    <cellStyle name="Normal 7" xfId="54" xr:uid="{00000000-0005-0000-0000-000040000000}"/>
    <cellStyle name="Normal 7 2" xfId="59" xr:uid="{00000000-0005-0000-0000-000041000000}"/>
    <cellStyle name="Normal 8" xfId="60" xr:uid="{00000000-0005-0000-0000-000042000000}"/>
    <cellStyle name="Normal 9" xfId="65" xr:uid="{00000000-0005-0000-0000-000043000000}"/>
    <cellStyle name="Note" xfId="38" builtinId="10" customBuiltin="1"/>
    <cellStyle name="Note 10 2" xfId="71" xr:uid="{00000000-0005-0000-0000-000045000000}"/>
    <cellStyle name="Note 10 2 10 2 2 4 2 2 2 2 2 2 2 2 2 2" xfId="93" xr:uid="{00000000-0005-0000-0000-000046000000}"/>
    <cellStyle name="Note 10 2 10 2 2 4 2 2 2 2 2 2 2 2 2 2 2 2 2 2 2 3 2" xfId="95" xr:uid="{00000000-0005-0000-0000-000047000000}"/>
    <cellStyle name="Note 10 2 10 2 2 4 2 2 2 2 2 2 2 2 2 2 3" xfId="98" xr:uid="{00000000-0005-0000-0000-000048000000}"/>
    <cellStyle name="Note 10 2 11 3 3" xfId="90" xr:uid="{00000000-0005-0000-0000-000049000000}"/>
    <cellStyle name="Note 10 2 2" xfId="82" xr:uid="{00000000-0005-0000-0000-00004A000000}"/>
    <cellStyle name="Note 17 2" xfId="72" xr:uid="{00000000-0005-0000-0000-00004B000000}"/>
    <cellStyle name="Note 2" xfId="64" xr:uid="{00000000-0005-0000-0000-00004C000000}"/>
    <cellStyle name="Note 2 134" xfId="94" xr:uid="{00000000-0005-0000-0000-00004D000000}"/>
    <cellStyle name="Note 2 2" xfId="81" xr:uid="{00000000-0005-0000-0000-00004E000000}"/>
    <cellStyle name="Note 2 24" xfId="70" xr:uid="{00000000-0005-0000-0000-00004F000000}"/>
    <cellStyle name="Note 2 3" xfId="88" xr:uid="{00000000-0005-0000-0000-000050000000}"/>
    <cellStyle name="Note 2 6 2 2" xfId="74" xr:uid="{00000000-0005-0000-0000-000051000000}"/>
    <cellStyle name="Note 24" xfId="68" xr:uid="{00000000-0005-0000-0000-000052000000}"/>
    <cellStyle name="Note 25" xfId="67" xr:uid="{00000000-0005-0000-0000-000053000000}"/>
    <cellStyle name="Note 28 2" xfId="66" xr:uid="{00000000-0005-0000-0000-000054000000}"/>
    <cellStyle name="Note 3" xfId="80" xr:uid="{00000000-0005-0000-0000-000055000000}"/>
    <cellStyle name="Note 33" xfId="73" xr:uid="{00000000-0005-0000-0000-000056000000}"/>
    <cellStyle name="Note 4" xfId="87" xr:uid="{00000000-0005-0000-0000-000057000000}"/>
    <cellStyle name="Output" xfId="39" builtinId="21" customBuiltin="1"/>
    <cellStyle name="Output 2" xfId="77" xr:uid="{00000000-0005-0000-0000-000059000000}"/>
    <cellStyle name="Output 2 2" xfId="85" xr:uid="{00000000-0005-0000-0000-00005A000000}"/>
    <cellStyle name="Output 2 2 2" xfId="89" xr:uid="{00000000-0005-0000-0000-00005B000000}"/>
    <cellStyle name="Output 3" xfId="83" xr:uid="{00000000-0005-0000-0000-00005C000000}"/>
    <cellStyle name="Percent" xfId="62" builtinId="5"/>
    <cellStyle name="Percent 2" xfId="76" xr:uid="{00000000-0005-0000-0000-00005E000000}"/>
    <cellStyle name="Percent 3" xfId="79" xr:uid="{00000000-0005-0000-0000-00005F000000}"/>
    <cellStyle name="Title" xfId="40" builtinId="15" customBuiltin="1"/>
    <cellStyle name="Total" xfId="41" builtinId="25" customBuiltin="1"/>
    <cellStyle name="Total 2" xfId="86" xr:uid="{00000000-0005-0000-0000-000062000000}"/>
    <cellStyle name="Warning Text" xfId="42" builtinId="11" customBuiltin="1"/>
  </cellStyles>
  <dxfs count="11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numFmt numFmtId="14" formatCode="0.00%"/>
    </dxf>
    <dxf>
      <numFmt numFmtId="165" formatCode="_(* #,##0_);_(* \(#,##0\);_(* &quot;-&quot;_);_(@_)"/>
    </dxf>
    <dxf>
      <numFmt numFmtId="14" formatCode="0.00%"/>
    </dxf>
    <dxf>
      <numFmt numFmtId="165" formatCode="_(* #,##0_);_(* \(#,##0\);_(* &quot;-&quot;_);_(@_)"/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color theme="1"/>
      </font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b/>
        <i val="0"/>
        <sz val="12"/>
        <color theme="1"/>
        <name val="Times New Roman"/>
        <scheme val="major"/>
      </font>
      <border diagonalUp="0" diagonalDown="0">
        <left/>
        <right/>
        <top/>
        <bottom/>
        <vertical/>
        <horizontal/>
      </border>
    </dxf>
  </dxfs>
  <tableStyles count="3" defaultTableStyle="TableStyleMedium9" defaultPivotStyle="PivotStyleLight16">
    <tableStyle name="My Style" pivot="0" table="0" count="10" xr9:uid="{00000000-0011-0000-FFFF-FFFF00000000}">
      <tableStyleElement type="wholeTable" dxfId="10"/>
      <tableStyleElement type="headerRow" dxfId="9"/>
    </tableStyle>
    <tableStyle name="Slicer Style 1" pivot="0" table="0" count="1" xr9:uid="{00000000-0011-0000-FFFF-FFFF01000000}">
      <tableStyleElement type="wholeTable" dxfId="8"/>
    </tableStyle>
    <tableStyle name="SlicerStyleDark1 2" pivot="0" table="0" count="10" xr9:uid="{00000000-0011-0000-FFFF-FFFF02000000}">
      <tableStyleElement type="wholeTable" dxfId="7"/>
      <tableStyleElement type="headerRow" dxfId="6"/>
    </tableStyle>
  </tableStyles>
  <colors>
    <mruColors>
      <color rgb="FFEC6B0A"/>
      <color rgb="FF996600"/>
      <color rgb="FFCC6600"/>
      <color rgb="FFD2CBB6"/>
      <color rgb="FFDDEBF7"/>
      <color rgb="FFC86866"/>
      <color rgb="FFFFF2CC"/>
      <color rgb="FFACB9CA"/>
      <color rgb="FFE2EFDA"/>
      <color rgb="FFF2F2F2"/>
    </mruColors>
  </colors>
  <extLst>
    <ext xmlns:x14="http://schemas.microsoft.com/office/spreadsheetml/2009/9/main" uri="{46F421CA-312F-682f-3DD2-61675219B42D}">
      <x14:dxfs count="16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4" tint="-0.249977111117893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theme="4" tint="0.59999389629810485"/>
            </left>
            <right style="thin">
              <color theme="4" tint="0.59999389629810485"/>
            </right>
            <top style="thin">
              <color theme="4" tint="0.59999389629810485"/>
            </top>
            <bottom style="thin">
              <color theme="4" tint="0.59999389629810485"/>
            </bottom>
            <vertical/>
            <horizontal/>
          </border>
        </dxf>
        <dxf>
          <font>
            <color theme="0"/>
          </font>
          <fill>
            <patternFill patternType="solid">
              <fgColor theme="4"/>
              <bgColor theme="4"/>
            </patternFill>
          </fill>
          <border>
            <left style="thin">
              <color theme="4"/>
            </left>
            <right style="thin">
              <color theme="4"/>
            </right>
            <top style="thin">
              <color theme="4"/>
            </top>
            <bottom style="thin">
              <color theme="4"/>
            </bottom>
            <vertical/>
            <horizontal/>
          </border>
        </dxf>
        <dxf>
          <font>
            <color rgb="FF959595"/>
          </font>
          <fill>
            <patternFill patternType="solid">
              <fgColor rgb="FFDFDFDF"/>
              <bgColor rgb="FFDFDFDF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C0C0C0"/>
              <bgColor rgb="FFC0C0C0"/>
            </patternFill>
          </fill>
          <border>
            <left style="thin">
              <color rgb="FFC0C0C0"/>
            </left>
            <right style="thin">
              <color rgb="FFC0C0C0"/>
            </right>
            <top style="thin">
              <color rgb="FFC0C0C0"/>
            </top>
            <bottom style="thin">
              <color rgb="FFC0C0C0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theme="4" tint="0.79998168889431442"/>
              <bgColor theme="4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My Style">
          <x14:slicerStyleElements>
            <x14:slicerStyleElement type="unselectedItemWithData" dxfId="15"/>
            <x14:slicerStyleElement type="unselectedItemWithNoData" dxfId="14"/>
            <x14:slicerStyleElement type="selectedItemWithData" dxfId="13"/>
            <x14:slicerStyleElement type="selectedItemWithNoData" dxfId="12"/>
            <x14:slicerStyleElement type="hoveredUnselectedItemWithData" dxfId="11"/>
            <x14:slicerStyleElement type="hoveredSelectedItemWithData" dxfId="10"/>
            <x14:slicerStyleElement type="hoveredUnselectedItemWithNoData" dxfId="9"/>
            <x14:slicerStyleElement type="hoveredSelectedItemWithNoData" dxfId="8"/>
          </x14:slicerStyleElements>
        </x14:slicerStyle>
        <x14:slicerStyle name="Slicer Style 1"/>
        <x14:slicerStyle name="SlicerStyleDark1 2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Percentages</a:t>
            </a:r>
          </a:p>
        </c:rich>
      </c:tx>
      <c:layout>
        <c:manualLayout>
          <c:xMode val="edge"/>
          <c:yMode val="edge"/>
          <c:x val="6.5359477124185479E-5"/>
          <c:y val="1.30379836501631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'Data for Dashboard'!$F$6</c:f>
              <c:strCache>
                <c:ptCount val="1"/>
                <c:pt idx="0">
                  <c:v>Percentage</c:v>
                </c:pt>
              </c:strCache>
            </c:strRef>
          </c:tx>
          <c:spPr>
            <a:ln w="22225" cap="rnd" cmpd="sng" algn="ctr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 for Dashboard'!$E$7:$E$11</c:f>
              <c:strCache>
                <c:ptCount val="5"/>
                <c:pt idx="0">
                  <c:v>Material Tax</c:v>
                </c:pt>
                <c:pt idx="1">
                  <c:v>Overhead &amp; Profit (Material)</c:v>
                </c:pt>
                <c:pt idx="2">
                  <c:v>Overhead &amp; Profit (Labor)</c:v>
                </c:pt>
                <c:pt idx="3">
                  <c:v>Bond Fee</c:v>
                </c:pt>
                <c:pt idx="4">
                  <c:v>OH &amp; P on subnotes</c:v>
                </c:pt>
              </c:strCache>
            </c:strRef>
          </c:cat>
          <c:val>
            <c:numRef>
              <c:f>'Data for Dashboard'!$F$7:$F$11</c:f>
              <c:numCache>
                <c:formatCode>0.0%</c:formatCode>
                <c:ptCount val="5"/>
                <c:pt idx="0">
                  <c:v>8.8999999999999996E-2</c:v>
                </c:pt>
                <c:pt idx="1">
                  <c:v>0.1</c:v>
                </c:pt>
                <c:pt idx="2">
                  <c:v>0.14000000000000001</c:v>
                </c:pt>
                <c:pt idx="3">
                  <c:v>1.4999999999999999E-2</c:v>
                </c:pt>
                <c:pt idx="4" formatCode="0%">
                  <c:v>0.05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20-40A2-A2E3-3C03D796B42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dk1">
                  <a:lumMod val="35000"/>
                  <a:lumOff val="65000"/>
                  <a:alpha val="33000"/>
                </a:schemeClr>
              </a:solidFill>
              <a:round/>
            </a:ln>
            <a:effectLst/>
          </c:spPr>
        </c:dropLines>
        <c:smooth val="0"/>
        <c:axId val="1883904048"/>
        <c:axId val="1883904528"/>
      </c:lineChart>
      <c:catAx>
        <c:axId val="1883904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3904528"/>
        <c:crosses val="autoZero"/>
        <c:auto val="1"/>
        <c:lblAlgn val="ctr"/>
        <c:lblOffset val="100"/>
        <c:noMultiLvlLbl val="0"/>
      </c:catAx>
      <c:valAx>
        <c:axId val="1883904528"/>
        <c:scaling>
          <c:orientation val="minMax"/>
        </c:scaling>
        <c:delete val="0"/>
        <c:axPos val="l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3904048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210854660777378"/>
          <c:y val="0.1494471602898684"/>
          <c:w val="0.79383657791407203"/>
          <c:h val="0.81698759556804557"/>
        </c:manualLayout>
      </c:layout>
      <c:doughnutChart>
        <c:varyColors val="1"/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F63-4D56-83CB-08E381A43E1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37E-48BA-8C93-16BD3B98DB9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F37E-48BA-8C93-16BD3B98DB9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37E-48BA-8C93-16BD3B98DB9F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F37E-48BA-8C93-16BD3B98DB9F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F37E-48BA-8C93-16BD3B98DB9F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37E-48BA-8C93-16BD3B98DB9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'Data for Dashboard'!$B$4:$B$10</c:f>
              <c:strCache>
                <c:ptCount val="7"/>
                <c:pt idx="0">
                  <c:v>Type</c:v>
                </c:pt>
                <c:pt idx="1">
                  <c:v>Material</c:v>
                </c:pt>
                <c:pt idx="2">
                  <c:v>Labor</c:v>
                </c:pt>
                <c:pt idx="3">
                  <c:v>Material Tax</c:v>
                </c:pt>
                <c:pt idx="4">
                  <c:v>Overhead &amp; Profit (Material)</c:v>
                </c:pt>
                <c:pt idx="5">
                  <c:v>Overhead &amp; Profit (Labor)</c:v>
                </c:pt>
                <c:pt idx="6">
                  <c:v>Bond Fee</c:v>
                </c:pt>
              </c:strCache>
            </c:strRef>
          </c:cat>
          <c:val>
            <c:numRef>
              <c:f>'Data for Dashboard'!$D$4:$D$10</c:f>
              <c:numCache>
                <c:formatCode>0%</c:formatCode>
                <c:ptCount val="7"/>
                <c:pt idx="1">
                  <c:v>0.31625484084827421</c:v>
                </c:pt>
                <c:pt idx="2">
                  <c:v>0.53438128869144685</c:v>
                </c:pt>
                <c:pt idx="3">
                  <c:v>2.8146680835496405E-2</c:v>
                </c:pt>
                <c:pt idx="4">
                  <c:v>3.1625484084827425E-2</c:v>
                </c:pt>
                <c:pt idx="5">
                  <c:v>7.4813380416802563E-2</c:v>
                </c:pt>
                <c:pt idx="6">
                  <c:v>1.477832512315271E-2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37E-48BA-8C93-16BD3B98DB9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  <c:extLst>
          <c:ext xmlns:c15="http://schemas.microsoft.com/office/drawing/2012/chart" uri="{02D57815-91ED-43cb-92C2-25804820EDAC}">
            <c15:filteredPieSeries>
              <c15:ser>
                <c:idx val="0"/>
                <c:order val="0"/>
                <c:dPt>
                  <c:idx val="0"/>
                  <c:bubble3D val="0"/>
                  <c:spPr>
                    <a:solidFill>
                      <a:schemeClr val="accent1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F-1F63-4D56-83CB-08E381A43E15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1-1F63-4D56-83CB-08E381A43E15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3-1F63-4D56-83CB-08E381A43E15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5-1F63-4D56-83CB-08E381A43E15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7-1F63-4D56-83CB-08E381A43E15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9-1F63-4D56-83CB-08E381A43E15}"/>
                    </c:ext>
                  </c:extLst>
                </c:dPt>
                <c:dPt>
                  <c:idx val="6"/>
                  <c:bubble3D val="0"/>
                  <c:spPr>
                    <a:solidFill>
                      <a:schemeClr val="accent1">
                        <a:lumMod val="60000"/>
                      </a:schemeClr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B-1F63-4D56-83CB-08E381A43E15}"/>
                    </c:ext>
                  </c:extLst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'Data for Dashboard'!$B$4:$B$10</c15:sqref>
                        </c15:formulaRef>
                      </c:ext>
                    </c:extLst>
                    <c:strCache>
                      <c:ptCount val="7"/>
                      <c:pt idx="0">
                        <c:v>Type</c:v>
                      </c:pt>
                      <c:pt idx="1">
                        <c:v>Material</c:v>
                      </c:pt>
                      <c:pt idx="2">
                        <c:v>Labor</c:v>
                      </c:pt>
                      <c:pt idx="3">
                        <c:v>Material Tax</c:v>
                      </c:pt>
                      <c:pt idx="4">
                        <c:v>Overhead &amp; Profit (Material)</c:v>
                      </c:pt>
                      <c:pt idx="5">
                        <c:v>Overhead &amp; Profit (Labor)</c:v>
                      </c:pt>
                      <c:pt idx="6">
                        <c:v>Bond Fee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'Data for Dashboard'!$C$4:$C$10</c15:sqref>
                        </c15:formulaRef>
                      </c:ext>
                    </c:extLst>
                    <c:numCache>
                      <c:formatCode>_("$"* #,##0.00_);_("$"* \(#,##0.00\);_("$"* "-"??_);_(@_)</c:formatCode>
                      <c:ptCount val="7"/>
                      <c:pt idx="0" formatCode="General">
                        <c:v>0</c:v>
                      </c:pt>
                      <c:pt idx="1">
                        <c:v>70413.366776666677</c:v>
                      </c:pt>
                      <c:pt idx="2">
                        <c:v>118978.68686623767</c:v>
                      </c:pt>
                      <c:pt idx="3">
                        <c:v>6266.7896431233339</c:v>
                      </c:pt>
                      <c:pt idx="4">
                        <c:v>7041.336677666668</c:v>
                      </c:pt>
                      <c:pt idx="5">
                        <c:v>16657.016161273274</c:v>
                      </c:pt>
                      <c:pt idx="6">
                        <c:v>3290.3579418745139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F37E-48BA-8C93-16BD3B98DB9F}"/>
                  </c:ext>
                </c:extLst>
              </c15:ser>
            </c15:filteredPieSeries>
          </c:ext>
        </c:extLst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Cost Summary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100000">
                  <a:schemeClr val="accent1">
                    <a:alpha val="0"/>
                  </a:schemeClr>
                </a:gs>
                <a:gs pos="50000">
                  <a:schemeClr val="accent1"/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'COST SUMMARY'!$C$21:$C$24</c:f>
              <c:strCache>
                <c:ptCount val="4"/>
                <c:pt idx="0">
                  <c:v>General Requirements</c:v>
                </c:pt>
                <c:pt idx="1">
                  <c:v>Existing conditions</c:v>
                </c:pt>
                <c:pt idx="2">
                  <c:v>Exterior Improvements</c:v>
                </c:pt>
                <c:pt idx="3">
                  <c:v>Utilities</c:v>
                </c:pt>
              </c:strCache>
            </c:strRef>
          </c:cat>
          <c:val>
            <c:numRef>
              <c:f>'COST SUMMARY'!$F$21:$F$24</c:f>
              <c:numCache>
                <c:formatCode>_("$"* #,##0_);_("$"* \(#,##0\);_("$"* "-"??_);_(@_)</c:formatCode>
                <c:ptCount val="4"/>
                <c:pt idx="0">
                  <c:v>24839.246272554337</c:v>
                </c:pt>
                <c:pt idx="1">
                  <c:v>37537.160708133335</c:v>
                </c:pt>
                <c:pt idx="2">
                  <c:v>119287.43372641665</c:v>
                </c:pt>
                <c:pt idx="3">
                  <c:v>7728.2129357999993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66-4847-B102-4D9DD2D8C6A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gapDepth val="0"/>
        <c:shape val="box"/>
        <c:axId val="161295776"/>
        <c:axId val="161302016"/>
        <c:axId val="0"/>
      </c:bar3DChart>
      <c:catAx>
        <c:axId val="161295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302016"/>
        <c:crosses val="autoZero"/>
        <c:auto val="1"/>
        <c:lblAlgn val="ctr"/>
        <c:lblOffset val="100"/>
        <c:noMultiLvlLbl val="0"/>
      </c:catAx>
      <c:valAx>
        <c:axId val="161302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295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/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alpha val="0"/>
            </a:schemeClr>
          </a:gs>
          <a:gs pos="50000">
            <a:schemeClr val="phClr"/>
          </a:gs>
        </a:gsLst>
        <a:lin ang="5400000" scaled="0"/>
      </a:gradFill>
      <a:sp3d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401083</xdr:colOff>
      <xdr:row>5</xdr:row>
      <xdr:rowOff>2422</xdr:rowOff>
    </xdr:from>
    <xdr:to>
      <xdr:col>3</xdr:col>
      <xdr:colOff>289897</xdr:colOff>
      <xdr:row>9</xdr:row>
      <xdr:rowOff>167775</xdr:rowOff>
    </xdr:to>
    <xdr:sp macro="" textlink="'COST SUMMARY'!D5">
      <xdr:nvSpPr>
        <xdr:cNvPr id="12" name="Rectangle: Rounded Corners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401083" y="1051293"/>
          <a:ext cx="2094132" cy="103492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1902EB2D-1498-4DCC-B054-4F51250BA9B8}" type="TxLink">
            <a:rPr lang="en-US" sz="1200" b="1" i="0" u="none" strike="noStrike">
              <a:solidFill>
                <a:schemeClr val="tx1"/>
              </a:solidFill>
              <a:latin typeface="+mn-lt"/>
              <a:cs typeface="Segoe UI" panose="020B0502040204020203" pitchFamily="34" charset="0"/>
            </a:rPr>
            <a:pPr algn="ctr"/>
            <a:t>Replacement Of The Lexington Avenue Retaining Wall </a:t>
          </a:fld>
          <a:endParaRPr lang="ur-PK" sz="1000" b="1">
            <a:solidFill>
              <a:schemeClr val="tx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0</xdr:col>
      <xdr:colOff>7620</xdr:colOff>
      <xdr:row>10</xdr:row>
      <xdr:rowOff>121920</xdr:rowOff>
    </xdr:from>
    <xdr:to>
      <xdr:col>18</xdr:col>
      <xdr:colOff>685800</xdr:colOff>
      <xdr:row>10</xdr:row>
      <xdr:rowOff>121920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/>
      </xdr:nvCxnSpPr>
      <xdr:spPr>
        <a:xfrm>
          <a:off x="7620" y="2232660"/>
          <a:ext cx="13845540" cy="0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2">
          <a:schemeClr val="accent4"/>
        </a:lnRef>
        <a:fillRef idx="0">
          <a:schemeClr val="accent4"/>
        </a:fillRef>
        <a:effectRef idx="1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0</xdr:col>
      <xdr:colOff>7620</xdr:colOff>
      <xdr:row>4</xdr:row>
      <xdr:rowOff>99060</xdr:rowOff>
    </xdr:from>
    <xdr:to>
      <xdr:col>18</xdr:col>
      <xdr:colOff>685800</xdr:colOff>
      <xdr:row>4</xdr:row>
      <xdr:rowOff>99060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>
          <a:off x="7620" y="943610"/>
          <a:ext cx="13682980" cy="0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2">
          <a:schemeClr val="accent4"/>
        </a:lnRef>
        <a:fillRef idx="0">
          <a:schemeClr val="accent4"/>
        </a:fillRef>
        <a:effectRef idx="1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383268</xdr:colOff>
      <xdr:row>22</xdr:row>
      <xdr:rowOff>190500</xdr:rowOff>
    </xdr:from>
    <xdr:to>
      <xdr:col>7</xdr:col>
      <xdr:colOff>371930</xdr:colOff>
      <xdr:row>37</xdr:row>
      <xdr:rowOff>4884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3</xdr:col>
      <xdr:colOff>439270</xdr:colOff>
      <xdr:row>4</xdr:row>
      <xdr:rowOff>181717</xdr:rowOff>
    </xdr:from>
    <xdr:to>
      <xdr:col>6</xdr:col>
      <xdr:colOff>345230</xdr:colOff>
      <xdr:row>9</xdr:row>
      <xdr:rowOff>149846</xdr:rowOff>
    </xdr:to>
    <xdr:sp macro="" textlink="'COST SUMMARY'!D4">
      <xdr:nvSpPr>
        <xdr:cNvPr id="20" name="Rectangle: Rounded Corners 1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2644588" y="1033364"/>
          <a:ext cx="2111277" cy="1034929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0DEE40F-1C4B-48F8-9CE2-D2E98DABD0E4}" type="TxLink">
            <a:rPr lang="en-US" sz="14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29/09/2025</a:t>
          </a:fld>
          <a:endParaRPr lang="ur-PK" sz="105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</xdr:col>
      <xdr:colOff>453571</xdr:colOff>
      <xdr:row>8</xdr:row>
      <xdr:rowOff>27214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170214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>
            <a:latin typeface="+mn-lt"/>
          </a:endParaRPr>
        </a:p>
      </xdr:txBody>
    </xdr:sp>
    <xdr:clientData/>
  </xdr:oneCellAnchor>
  <xdr:twoCellAnchor editAs="absolute">
    <xdr:from>
      <xdr:col>6</xdr:col>
      <xdr:colOff>477883</xdr:colOff>
      <xdr:row>5</xdr:row>
      <xdr:rowOff>2</xdr:rowOff>
    </xdr:from>
    <xdr:to>
      <xdr:col>9</xdr:col>
      <xdr:colOff>360982</xdr:colOff>
      <xdr:row>9</xdr:row>
      <xdr:rowOff>167777</xdr:rowOff>
    </xdr:to>
    <xdr:sp macro="" textlink="'COST SUMMARY'!L6">
      <xdr:nvSpPr>
        <xdr:cNvPr id="23" name="Rectangle: Rounded Corners 1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4762500" y="1043216"/>
          <a:ext cx="2048268" cy="100996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83A79BE-2A4A-4D76-8606-07A6EEE87078}" type="TxLink">
            <a:rPr lang="en-US" sz="16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 $222,648 </a:t>
          </a:fld>
          <a:endParaRPr lang="ur-PK" sz="11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9</xdr:col>
      <xdr:colOff>474617</xdr:colOff>
      <xdr:row>5</xdr:row>
      <xdr:rowOff>20502</xdr:rowOff>
    </xdr:from>
    <xdr:to>
      <xdr:col>12</xdr:col>
      <xdr:colOff>397722</xdr:colOff>
      <xdr:row>9</xdr:row>
      <xdr:rowOff>174942</xdr:rowOff>
    </xdr:to>
    <xdr:sp macro="" textlink="'COST SUMMARY'!L4">
      <xdr:nvSpPr>
        <xdr:cNvPr id="32" name="Rectangle: Rounded Corners 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6939643" y="1052286"/>
          <a:ext cx="2048268" cy="1009967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5C55B40-6FC2-4CEC-A10E-300B3D7CAB5B}" type="TxLink">
            <a:rPr lang="en-US" sz="14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Private (Non-Prevailing wage)</a:t>
          </a:fld>
          <a:endParaRPr lang="ur-PK" sz="105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12</xdr:col>
      <xdr:colOff>515620</xdr:colOff>
      <xdr:row>5</xdr:row>
      <xdr:rowOff>20502</xdr:rowOff>
    </xdr:from>
    <xdr:to>
      <xdr:col>15</xdr:col>
      <xdr:colOff>398719</xdr:colOff>
      <xdr:row>9</xdr:row>
      <xdr:rowOff>174942</xdr:rowOff>
    </xdr:to>
    <xdr:sp macro="" textlink="'COST SUMMARY'!D6">
      <xdr:nvSpPr>
        <xdr:cNvPr id="33" name="Rectangle: Rounded Corners 1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9107714" y="1052286"/>
          <a:ext cx="2048268" cy="1009967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D0C76CD0-574D-4B99-BABE-CA94C7F33062}" type="TxLink">
            <a:rPr lang="en-US" sz="14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City OF Norwalk 11, 19 &amp; 21 Snowden Street</a:t>
          </a:fld>
          <a:endParaRPr lang="ur-PK" sz="105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15</xdr:col>
      <xdr:colOff>535213</xdr:colOff>
      <xdr:row>5</xdr:row>
      <xdr:rowOff>20502</xdr:rowOff>
    </xdr:from>
    <xdr:to>
      <xdr:col>18</xdr:col>
      <xdr:colOff>342838</xdr:colOff>
      <xdr:row>9</xdr:row>
      <xdr:rowOff>174942</xdr:rowOff>
    </xdr:to>
    <xdr:sp macro="" textlink="'COST SUMMARY'!L5">
      <xdr:nvSpPr>
        <xdr:cNvPr id="34" name="Rectangle: Rounded Corners 1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11284856" y="1052286"/>
          <a:ext cx="2048268" cy="1009967"/>
        </a:xfrm>
        <a:prstGeom prst="rect">
          <a:avLst/>
        </a:prstGeom>
        <a:solidFill>
          <a:schemeClr val="accent3">
            <a:lumMod val="7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735D94A9-28B8-4AFD-8E4F-1980FA0F140C}" type="TxLink">
            <a:rPr lang="en-US" sz="12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Retaining Wall Replacement</a:t>
          </a:fld>
          <a:endParaRPr lang="ur-PK" sz="10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0</xdr:col>
      <xdr:colOff>423854</xdr:colOff>
      <xdr:row>5</xdr:row>
      <xdr:rowOff>1970</xdr:rowOff>
    </xdr:from>
    <xdr:ext cx="1053237" cy="237515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23854" y="1046999"/>
          <a:ext cx="1053237" cy="237515"/>
        </a:xfrm>
        <a:prstGeom prst="rect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1200" b="1">
              <a:latin typeface="+mn-lt"/>
              <a:cs typeface="Segoe UI" panose="020B0502040204020203" pitchFamily="34" charset="0"/>
            </a:rPr>
            <a:t>Project Name</a:t>
          </a:r>
        </a:p>
      </xdr:txBody>
    </xdr:sp>
    <xdr:clientData/>
  </xdr:oneCellAnchor>
  <xdr:oneCellAnchor>
    <xdr:from>
      <xdr:col>3</xdr:col>
      <xdr:colOff>444499</xdr:colOff>
      <xdr:row>4</xdr:row>
      <xdr:rowOff>190874</xdr:rowOff>
    </xdr:from>
    <xdr:ext cx="488467" cy="280205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2696881" y="1020109"/>
          <a:ext cx="488467" cy="280205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Date</a:t>
          </a:r>
        </a:p>
      </xdr:txBody>
    </xdr:sp>
    <xdr:clientData/>
  </xdr:oneCellAnchor>
  <xdr:oneCellAnchor>
    <xdr:from>
      <xdr:col>6</xdr:col>
      <xdr:colOff>469899</xdr:colOff>
      <xdr:row>4</xdr:row>
      <xdr:rowOff>190874</xdr:rowOff>
    </xdr:from>
    <xdr:ext cx="727122" cy="280205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4974664" y="1020109"/>
          <a:ext cx="727122" cy="280205"/>
        </a:xfrm>
        <a:prstGeom prst="rect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Base</a:t>
          </a:r>
          <a:r>
            <a:rPr lang="en-US" sz="1200" b="1">
              <a:solidFill>
                <a:schemeClr val="bg1"/>
              </a:solidFill>
              <a:latin typeface="+mn-lt"/>
              <a:cs typeface="Segoe UI" panose="020B0502040204020203" pitchFamily="34" charset="0"/>
            </a:rPr>
            <a:t> </a:t>
          </a:r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Bid</a:t>
          </a:r>
        </a:p>
      </xdr:txBody>
    </xdr:sp>
    <xdr:clientData/>
  </xdr:oneCellAnchor>
  <xdr:oneCellAnchor>
    <xdr:from>
      <xdr:col>9</xdr:col>
      <xdr:colOff>463549</xdr:colOff>
      <xdr:row>4</xdr:row>
      <xdr:rowOff>195730</xdr:rowOff>
    </xdr:from>
    <xdr:ext cx="982385" cy="280205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7220696" y="1024965"/>
          <a:ext cx="982385" cy="280205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Project</a:t>
          </a:r>
          <a:r>
            <a:rPr lang="en-US" sz="1200" b="1" baseline="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 Type</a:t>
          </a:r>
          <a:endParaRPr lang="en-US" sz="12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oneCellAnchor>
  <xdr:oneCellAnchor>
    <xdr:from>
      <xdr:col>12</xdr:col>
      <xdr:colOff>489825</xdr:colOff>
      <xdr:row>4</xdr:row>
      <xdr:rowOff>194236</xdr:rowOff>
    </xdr:from>
    <xdr:ext cx="697948" cy="280205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9554997" y="1021926"/>
          <a:ext cx="697948" cy="280205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Address</a:t>
          </a:r>
        </a:p>
      </xdr:txBody>
    </xdr:sp>
    <xdr:clientData/>
  </xdr:oneCellAnchor>
  <xdr:oneCellAnchor>
    <xdr:from>
      <xdr:col>15</xdr:col>
      <xdr:colOff>520700</xdr:colOff>
      <xdr:row>5</xdr:row>
      <xdr:rowOff>1869</xdr:rowOff>
    </xdr:from>
    <xdr:ext cx="1116268" cy="226732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1624129" y="1046898"/>
          <a:ext cx="1116268" cy="226732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Scope of Work</a:t>
          </a:r>
        </a:p>
      </xdr:txBody>
    </xdr:sp>
    <xdr:clientData/>
  </xdr:oneCellAnchor>
  <xdr:twoCellAnchor>
    <xdr:from>
      <xdr:col>10</xdr:col>
      <xdr:colOff>352962</xdr:colOff>
      <xdr:row>37</xdr:row>
      <xdr:rowOff>122051</xdr:rowOff>
    </xdr:from>
    <xdr:to>
      <xdr:col>16</xdr:col>
      <xdr:colOff>188851</xdr:colOff>
      <xdr:row>40</xdr:row>
      <xdr:rowOff>58551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511144" y="7672778"/>
          <a:ext cx="4176980" cy="5253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800" b="1"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0</xdr:col>
      <xdr:colOff>705972</xdr:colOff>
      <xdr:row>37</xdr:row>
      <xdr:rowOff>56030</xdr:rowOff>
    </xdr:from>
    <xdr:to>
      <xdr:col>7</xdr:col>
      <xdr:colOff>365646</xdr:colOff>
      <xdr:row>40</xdr:row>
      <xdr:rowOff>59691</xdr:rowOff>
    </xdr:to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705972" y="7563971"/>
          <a:ext cx="4836792" cy="59757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800" b="1">
            <a:solidFill>
              <a:schemeClr val="tx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15</xdr:col>
      <xdr:colOff>28516</xdr:colOff>
      <xdr:row>11</xdr:row>
      <xdr:rowOff>223316</xdr:rowOff>
    </xdr:from>
    <xdr:to>
      <xdr:col>18</xdr:col>
      <xdr:colOff>304521</xdr:colOff>
      <xdr:row>14</xdr:row>
      <xdr:rowOff>97042</xdr:rowOff>
    </xdr:to>
    <xdr:sp macro="" textlink="'COST SUMMARY'!E25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1315641" y="2518841"/>
          <a:ext cx="2609630" cy="559526"/>
        </a:xfrm>
        <a:prstGeom prst="rect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2AF80FDA-E973-421C-82E6-1CE4A90EAF8A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$70,413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7</xdr:col>
      <xdr:colOff>598025</xdr:colOff>
      <xdr:row>11</xdr:row>
      <xdr:rowOff>228600</xdr:rowOff>
    </xdr:from>
    <xdr:to>
      <xdr:col>14</xdr:col>
      <xdr:colOff>598715</xdr:colOff>
      <xdr:row>37</xdr:row>
      <xdr:rowOff>161925</xdr:rowOff>
    </xdr:to>
    <xdr:graphicFrame macro="">
      <xdr:nvGraphicFramePr>
        <xdr:cNvPr id="54" name="Chart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15</xdr:col>
      <xdr:colOff>20469</xdr:colOff>
      <xdr:row>11</xdr:row>
      <xdr:rowOff>225460</xdr:rowOff>
    </xdr:from>
    <xdr:ext cx="1536661" cy="602799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11326230" y="2519743"/>
          <a:ext cx="1536661" cy="602799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</a:t>
          </a:r>
        </a:p>
      </xdr:txBody>
    </xdr:sp>
    <xdr:clientData/>
  </xdr:oneCellAnchor>
  <xdr:twoCellAnchor>
    <xdr:from>
      <xdr:col>15</xdr:col>
      <xdr:colOff>43928</xdr:colOff>
      <xdr:row>16</xdr:row>
      <xdr:rowOff>61598</xdr:rowOff>
    </xdr:from>
    <xdr:to>
      <xdr:col>18</xdr:col>
      <xdr:colOff>319933</xdr:colOff>
      <xdr:row>19</xdr:row>
      <xdr:rowOff>22410</xdr:rowOff>
    </xdr:to>
    <xdr:sp macro="" textlink="'COST SUMMARY'!D25">
      <xdr:nvSpPr>
        <xdr:cNvPr id="56" name="Rectangle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10984071" y="3425284"/>
          <a:ext cx="2551119" cy="548640"/>
        </a:xfrm>
        <a:prstGeom prst="rect">
          <a:avLst/>
        </a:prstGeom>
        <a:solidFill>
          <a:schemeClr val="accent3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1DF2909F-5ADE-4FB0-BDC2-66594137DBF8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$118,979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16</xdr:row>
      <xdr:rowOff>54797</xdr:rowOff>
    </xdr:from>
    <xdr:ext cx="1512473" cy="557784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11341642" y="3450667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Labor</a:t>
          </a:r>
        </a:p>
      </xdr:txBody>
    </xdr:sp>
    <xdr:clientData/>
  </xdr:oneCellAnchor>
  <xdr:twoCellAnchor>
    <xdr:from>
      <xdr:col>15</xdr:col>
      <xdr:colOff>43928</xdr:colOff>
      <xdr:row>20</xdr:row>
      <xdr:rowOff>182909</xdr:rowOff>
    </xdr:from>
    <xdr:to>
      <xdr:col>18</xdr:col>
      <xdr:colOff>319933</xdr:colOff>
      <xdr:row>23</xdr:row>
      <xdr:rowOff>78406</xdr:rowOff>
    </xdr:to>
    <xdr:sp macro="" textlink="'COST SUMMARY'!F26">
      <xdr:nvSpPr>
        <xdr:cNvPr id="58" name="Rectangle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10984071" y="4330366"/>
          <a:ext cx="2551119" cy="54864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56C18716-F7A6-468B-B58C-561736995BB2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$6,267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20</xdr:row>
      <xdr:rowOff>184391</xdr:rowOff>
    </xdr:from>
    <xdr:ext cx="1512473" cy="557784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11008681" y="4360151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 Tax</a:t>
          </a:r>
        </a:p>
      </xdr:txBody>
    </xdr:sp>
    <xdr:clientData/>
  </xdr:oneCellAnchor>
  <xdr:twoCellAnchor>
    <xdr:from>
      <xdr:col>15</xdr:col>
      <xdr:colOff>54814</xdr:colOff>
      <xdr:row>25</xdr:row>
      <xdr:rowOff>42962</xdr:rowOff>
    </xdr:from>
    <xdr:to>
      <xdr:col>18</xdr:col>
      <xdr:colOff>330819</xdr:colOff>
      <xdr:row>27</xdr:row>
      <xdr:rowOff>167059</xdr:rowOff>
    </xdr:to>
    <xdr:sp macro="" textlink="'COST SUMMARY'!F27">
      <xdr:nvSpPr>
        <xdr:cNvPr id="60" name="Rectangle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10994957" y="5235448"/>
          <a:ext cx="2551119" cy="54864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050ACC7F-05D1-4092-856F-9A0FA36A0215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$7,041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46767</xdr:colOff>
      <xdr:row>25</xdr:row>
      <xdr:rowOff>44444</xdr:rowOff>
    </xdr:from>
    <xdr:ext cx="1512473" cy="557784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11019567" y="5271764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</a:t>
          </a:r>
          <a:r>
            <a:rPr lang="en-US" sz="1400" b="1" baseline="0">
              <a:latin typeface="+mn-lt"/>
              <a:cs typeface="Segoe UI" panose="020B0502040204020203" pitchFamily="34" charset="0"/>
            </a:rPr>
            <a:t> Profit</a:t>
          </a:r>
          <a:endParaRPr lang="en-US" sz="1400" b="1">
            <a:latin typeface="+mn-lt"/>
            <a:cs typeface="Segoe UI" panose="020B0502040204020203" pitchFamily="34" charset="0"/>
          </a:endParaRPr>
        </a:p>
      </xdr:txBody>
    </xdr:sp>
    <xdr:clientData/>
  </xdr:oneCellAnchor>
  <xdr:twoCellAnchor>
    <xdr:from>
      <xdr:col>15</xdr:col>
      <xdr:colOff>54814</xdr:colOff>
      <xdr:row>29</xdr:row>
      <xdr:rowOff>131616</xdr:rowOff>
    </xdr:from>
    <xdr:to>
      <xdr:col>18</xdr:col>
      <xdr:colOff>330819</xdr:colOff>
      <xdr:row>32</xdr:row>
      <xdr:rowOff>92427</xdr:rowOff>
    </xdr:to>
    <xdr:sp macro="" textlink="'COST SUMMARY'!F28">
      <xdr:nvSpPr>
        <xdr:cNvPr id="62" name="Rectangl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10994957" y="6140530"/>
          <a:ext cx="2551119" cy="54864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A9EAC16A-A07E-41B0-A80A-8BA3141E54C0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$16,657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46767</xdr:colOff>
      <xdr:row>29</xdr:row>
      <xdr:rowOff>133098</xdr:rowOff>
    </xdr:from>
    <xdr:ext cx="1512473" cy="557784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11019567" y="6183378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Labor Profit</a:t>
          </a:r>
        </a:p>
      </xdr:txBody>
    </xdr:sp>
    <xdr:clientData/>
  </xdr:oneCellAnchor>
  <xdr:twoCellAnchor>
    <xdr:from>
      <xdr:col>15</xdr:col>
      <xdr:colOff>43928</xdr:colOff>
      <xdr:row>34</xdr:row>
      <xdr:rowOff>13439</xdr:rowOff>
    </xdr:from>
    <xdr:to>
      <xdr:col>18</xdr:col>
      <xdr:colOff>319933</xdr:colOff>
      <xdr:row>36</xdr:row>
      <xdr:rowOff>170193</xdr:rowOff>
    </xdr:to>
    <xdr:sp macro="" textlink="'BASE BID'!R120">
      <xdr:nvSpPr>
        <xdr:cNvPr id="64" name="Rectangle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10984071" y="7045610"/>
          <a:ext cx="2551119" cy="548640"/>
        </a:xfrm>
        <a:prstGeom prst="rect">
          <a:avLst/>
        </a:prstGeom>
        <a:solidFill>
          <a:srgbClr val="996600"/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45A2797F-00D5-42F5-9898-110879AFFCDD}" type="TxLink">
            <a:rPr lang="en-US" sz="1200" b="1" i="0" u="none" strike="noStrike">
              <a:solidFill>
                <a:schemeClr val="bg1"/>
              </a:solidFill>
              <a:latin typeface="+mn-lt"/>
              <a:cs typeface="Calibri"/>
            </a:rPr>
            <a:pPr algn="r"/>
            <a:t> $3,290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34</xdr:row>
      <xdr:rowOff>14921</xdr:rowOff>
    </xdr:from>
    <xdr:ext cx="1512473" cy="557784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11008681" y="7101521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Bond</a:t>
          </a:r>
          <a:r>
            <a:rPr lang="en-US" sz="1400" b="1" baseline="0">
              <a:latin typeface="+mn-lt"/>
              <a:cs typeface="Segoe UI" panose="020B0502040204020203" pitchFamily="34" charset="0"/>
            </a:rPr>
            <a:t> Fee</a:t>
          </a:r>
          <a:endParaRPr lang="en-US" sz="1400" b="1">
            <a:latin typeface="+mn-lt"/>
            <a:cs typeface="Segoe UI" panose="020B0502040204020203" pitchFamily="34" charset="0"/>
          </a:endParaRPr>
        </a:p>
      </xdr:txBody>
    </xdr:sp>
    <xdr:clientData/>
  </xdr:oneCellAnchor>
  <xdr:twoCellAnchor>
    <xdr:from>
      <xdr:col>0</xdr:col>
      <xdr:colOff>426720</xdr:colOff>
      <xdr:row>12</xdr:row>
      <xdr:rowOff>95281</xdr:rowOff>
    </xdr:from>
    <xdr:to>
      <xdr:col>7</xdr:col>
      <xdr:colOff>239034</xdr:colOff>
      <xdr:row>21</xdr:row>
      <xdr:rowOff>68580</xdr:rowOff>
    </xdr:to>
    <xdr:grpSp>
      <xdr:nvGrpSpPr>
        <xdr:cNvPr id="91" name="Group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GrpSpPr/>
      </xdr:nvGrpSpPr>
      <xdr:grpSpPr>
        <a:xfrm>
          <a:off x="428625" y="2731257"/>
          <a:ext cx="5051064" cy="1839382"/>
          <a:chOff x="628858" y="2702514"/>
          <a:chExt cx="4735000" cy="2306970"/>
        </a:xfrm>
      </xdr:grpSpPr>
      <xdr:sp macro="" textlink="'COST SUMMARY'!D12">
        <xdr:nvSpPr>
          <xdr:cNvPr id="82" name="Freeform: Shape 81">
            <a:extLst>
              <a:ext uri="{FF2B5EF4-FFF2-40B4-BE49-F238E27FC236}">
                <a16:creationId xmlns:a16="http://schemas.microsoft.com/office/drawing/2014/main" id="{00000000-0008-0000-0000-000052000000}"/>
              </a:ext>
            </a:extLst>
          </xdr:cNvPr>
          <xdr:cNvSpPr/>
        </xdr:nvSpPr>
        <xdr:spPr>
          <a:xfrm>
            <a:off x="3034931" y="4483243"/>
            <a:ext cx="2328927" cy="523711"/>
          </a:xfrm>
          <a:custGeom>
            <a:avLst/>
            <a:gdLst>
              <a:gd name="connsiteX0" fmla="*/ 0 w 2077736"/>
              <a:gd name="connsiteY0" fmla="*/ 0 h 512953"/>
              <a:gd name="connsiteX1" fmla="*/ 2077736 w 2077736"/>
              <a:gd name="connsiteY1" fmla="*/ 0 h 512953"/>
              <a:gd name="connsiteX2" fmla="*/ 2077736 w 2077736"/>
              <a:gd name="connsiteY2" fmla="*/ 512953 h 512953"/>
              <a:gd name="connsiteX3" fmla="*/ 0 w 2077736"/>
              <a:gd name="connsiteY3" fmla="*/ 512953 h 512953"/>
              <a:gd name="connsiteX4" fmla="*/ 0 w 2077736"/>
              <a:gd name="connsiteY4" fmla="*/ 0 h 51295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077736" h="512953">
                <a:moveTo>
                  <a:pt x="0" y="0"/>
                </a:moveTo>
                <a:lnTo>
                  <a:pt x="2077736" y="0"/>
                </a:lnTo>
                <a:lnTo>
                  <a:pt x="2077736" y="512953"/>
                </a:lnTo>
                <a:lnTo>
                  <a:pt x="0" y="512953"/>
                </a:lnTo>
                <a:lnTo>
                  <a:pt x="0" y="0"/>
                </a:lnTo>
                <a:close/>
              </a:path>
            </a:pathLst>
          </a:custGeom>
          <a:noFill/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175260" tIns="175260" rIns="175260" bIns="175260" numCol="1" spcCol="1270" anchor="ctr" anchorCtr="0">
            <a:noAutofit/>
          </a:bodyPr>
          <a:lstStyle/>
          <a:p>
            <a:pPr algn="r" rtl="0"/>
            <a:fld id="{CD817932-2B9E-4D9F-B49C-1CADD1FDCA83}" type="TxLink">
              <a:rPr lang="en-US" sz="1600" b="1" i="0" u="none" strike="noStrike">
                <a:solidFill>
                  <a:sysClr val="windowText" lastClr="000000"/>
                </a:solidFill>
                <a:effectLst/>
                <a:latin typeface="+mn-lt"/>
                <a:ea typeface="+mn-ea"/>
                <a:cs typeface="Segoe UI" panose="020B0502040204020203" pitchFamily="34" charset="0"/>
              </a:rPr>
              <a:pPr algn="r" rtl="0"/>
              <a:t> </a:t>
            </a:fld>
            <a:endParaRPr lang="ur-PK" sz="1600" b="1">
              <a:solidFill>
                <a:sysClr val="windowText" lastClr="000000"/>
              </a:solidFill>
              <a:effectLst/>
              <a:latin typeface="+mn-lt"/>
              <a:cs typeface="Segoe UI" panose="020B0502040204020203" pitchFamily="34" charset="0"/>
            </a:endParaRPr>
          </a:p>
        </xdr:txBody>
      </xdr:sp>
      <xdr:grpSp>
        <xdr:nvGrpSpPr>
          <xdr:cNvPr id="69" name="Group 68">
            <a:extLst>
              <a:ext uri="{FF2B5EF4-FFF2-40B4-BE49-F238E27FC236}">
                <a16:creationId xmlns:a16="http://schemas.microsoft.com/office/drawing/2014/main" id="{00000000-0008-0000-0000-000045000000}"/>
              </a:ext>
            </a:extLst>
          </xdr:cNvPr>
          <xdr:cNvGrpSpPr/>
        </xdr:nvGrpSpPr>
        <xdr:grpSpPr>
          <a:xfrm>
            <a:off x="628858" y="2702514"/>
            <a:ext cx="4733245" cy="2306970"/>
            <a:chOff x="628858" y="2663813"/>
            <a:chExt cx="4729061" cy="2268533"/>
          </a:xfrm>
        </xdr:grpSpPr>
        <xdr:sp macro="" textlink="">
          <xdr:nvSpPr>
            <xdr:cNvPr id="70" name="Freeform: Shape 69">
              <a:extLst>
                <a:ext uri="{FF2B5EF4-FFF2-40B4-BE49-F238E27FC236}">
                  <a16:creationId xmlns:a16="http://schemas.microsoft.com/office/drawing/2014/main" id="{00000000-0008-0000-0000-000046000000}"/>
                </a:ext>
              </a:extLst>
            </xdr:cNvPr>
            <xdr:cNvSpPr/>
          </xdr:nvSpPr>
          <xdr:spPr>
            <a:xfrm>
              <a:off x="635074" y="2674673"/>
              <a:ext cx="2287725" cy="512523"/>
            </a:xfrm>
            <a:custGeom>
              <a:avLst/>
              <a:gdLst>
                <a:gd name="connsiteX0" fmla="*/ 0 w 2287725"/>
                <a:gd name="connsiteY0" fmla="*/ 0 h 910800"/>
                <a:gd name="connsiteX1" fmla="*/ 2287725 w 2287725"/>
                <a:gd name="connsiteY1" fmla="*/ 0 h 910800"/>
                <a:gd name="connsiteX2" fmla="*/ 2287725 w 2287725"/>
                <a:gd name="connsiteY2" fmla="*/ 910800 h 910800"/>
                <a:gd name="connsiteX3" fmla="*/ 0 w 2287725"/>
                <a:gd name="connsiteY3" fmla="*/ 910800 h 910800"/>
                <a:gd name="connsiteX4" fmla="*/ 0 w 2287725"/>
                <a:gd name="connsiteY4" fmla="*/ 0 h 9108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</a:cxnLst>
              <a:rect l="l" t="t" r="r" b="b"/>
              <a:pathLst>
                <a:path w="2287725" h="910800">
                  <a:moveTo>
                    <a:pt x="0" y="0"/>
                  </a:moveTo>
                  <a:lnTo>
                    <a:pt x="2287725" y="0"/>
                  </a:lnTo>
                  <a:lnTo>
                    <a:pt x="2287725" y="910800"/>
                  </a:lnTo>
                  <a:lnTo>
                    <a:pt x="0" y="9108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DDEBF7"/>
            </a:solidFill>
          </xdr:spPr>
          <xdr:style>
            <a:lnRef idx="0">
              <a:schemeClr val="dk1">
                <a:alpha val="0"/>
                <a:hueOff val="0"/>
                <a:satOff val="0"/>
                <a:lumOff val="0"/>
                <a:alphaOff val="0"/>
              </a:schemeClr>
            </a:lnRef>
            <a:fillRef idx="0">
              <a:schemeClr val="lt1">
                <a:alpha val="0"/>
                <a:hueOff val="0"/>
                <a:satOff val="0"/>
                <a:lumOff val="0"/>
                <a:alphaOff val="0"/>
              </a:schemeClr>
            </a:fillRef>
            <a:effectRef idx="0">
              <a:schemeClr val="lt1">
                <a:alpha val="0"/>
                <a:hueOff val="0"/>
                <a:satOff val="0"/>
                <a:lumOff val="0"/>
                <a:alphaOff val="0"/>
              </a:schemeClr>
            </a:effectRef>
            <a:fontRef idx="minor">
              <a:schemeClr val="tx1">
                <a:hueOff val="0"/>
                <a:satOff val="0"/>
                <a:lumOff val="0"/>
                <a:alphaOff val="0"/>
              </a:schemeClr>
            </a:fontRef>
          </xdr:style>
          <xdr:txBody>
            <a:bodyPr spcFirstLastPara="0" vert="horz" wrap="square" lIns="142240" tIns="50800" rIns="142240" bIns="50800" numCol="1" spcCol="1270" anchor="ctr" anchorCtr="0">
              <a:noAutofit/>
            </a:bodyPr>
            <a:lstStyle/>
            <a:p>
              <a:pPr marL="0" lvl="0" indent="0" algn="l" defTabSz="8890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</a:pPr>
              <a:r>
                <a:rPr lang="en-US" sz="1600" b="1" kern="1200">
                  <a:solidFill>
                    <a:sysClr val="windowText" lastClr="000000"/>
                  </a:solidFill>
                  <a:latin typeface="+mn-lt"/>
                  <a:cs typeface="Segoe UI" panose="020B0502040204020203" pitchFamily="34" charset="0"/>
                </a:rPr>
                <a:t>Base Bid</a:t>
              </a:r>
              <a:endParaRPr lang="ur-PK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endParaRPr>
            </a:p>
          </xdr:txBody>
        </xdr:sp>
        <xdr:sp macro="" textlink="'COST SUMMARY'!D10">
          <xdr:nvSpPr>
            <xdr:cNvPr id="72" name="Freeform: Shape 71">
              <a:extLst>
                <a:ext uri="{FF2B5EF4-FFF2-40B4-BE49-F238E27FC236}">
                  <a16:creationId xmlns:a16="http://schemas.microsoft.com/office/drawing/2014/main" id="{00000000-0008-0000-0000-000048000000}"/>
                </a:ext>
              </a:extLst>
            </xdr:cNvPr>
            <xdr:cNvSpPr/>
          </xdr:nvSpPr>
          <xdr:spPr>
            <a:xfrm>
              <a:off x="3030933" y="2663813"/>
              <a:ext cx="2326986" cy="512953"/>
            </a:xfrm>
            <a:custGeom>
              <a:avLst/>
              <a:gdLst>
                <a:gd name="connsiteX0" fmla="*/ 0 w 2077736"/>
                <a:gd name="connsiteY0" fmla="*/ 0 h 512953"/>
                <a:gd name="connsiteX1" fmla="*/ 2077736 w 2077736"/>
                <a:gd name="connsiteY1" fmla="*/ 0 h 512953"/>
                <a:gd name="connsiteX2" fmla="*/ 2077736 w 2077736"/>
                <a:gd name="connsiteY2" fmla="*/ 512953 h 512953"/>
                <a:gd name="connsiteX3" fmla="*/ 0 w 2077736"/>
                <a:gd name="connsiteY3" fmla="*/ 512953 h 512953"/>
                <a:gd name="connsiteX4" fmla="*/ 0 w 2077736"/>
                <a:gd name="connsiteY4" fmla="*/ 0 h 512953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</a:cxnLst>
              <a:rect l="l" t="t" r="r" b="b"/>
              <a:pathLst>
                <a:path w="2077736" h="512953">
                  <a:moveTo>
                    <a:pt x="0" y="0"/>
                  </a:moveTo>
                  <a:lnTo>
                    <a:pt x="2077736" y="0"/>
                  </a:lnTo>
                  <a:lnTo>
                    <a:pt x="2077736" y="512953"/>
                  </a:lnTo>
                  <a:lnTo>
                    <a:pt x="0" y="512953"/>
                  </a:lnTo>
                  <a:lnTo>
                    <a:pt x="0" y="0"/>
                  </a:lnTo>
                  <a:close/>
                </a:path>
              </a:pathLst>
            </a:custGeom>
            <a:noFill/>
          </xdr:spPr>
          <xdr:style>
            <a:lnRef idx="2">
              <a:schemeClr val="lt1">
                <a:hueOff val="0"/>
                <a:satOff val="0"/>
                <a:lumOff val="0"/>
                <a:alphaOff val="0"/>
              </a:schemeClr>
            </a:lnRef>
            <a:fillRef idx="1">
              <a:schemeClr val="accent1">
                <a:hueOff val="0"/>
                <a:satOff val="0"/>
                <a:lumOff val="0"/>
                <a:alphaOff val="0"/>
              </a:schemeClr>
            </a:fillRef>
            <a:effectRef idx="0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  <xdr:txBody>
            <a:bodyPr spcFirstLastPara="0" vert="horz" wrap="square" lIns="175260" tIns="175260" rIns="175260" bIns="175260" numCol="1" spcCol="1270" anchor="ctr" anchorCtr="0">
              <a:noAutofit/>
            </a:bodyPr>
            <a:lstStyle/>
            <a:p>
              <a:pPr algn="r" rtl="0"/>
              <a:fld id="{51D7562B-E33C-471F-BEE2-C9B8241A4D20}" type="TxLink">
                <a:rPr lang="en-US" sz="1600" b="1" i="0" u="none" strike="noStrike">
                  <a:solidFill>
                    <a:sysClr val="windowText" lastClr="000000"/>
                  </a:solidFill>
                  <a:effectLst/>
                  <a:latin typeface="+mn-lt"/>
                  <a:ea typeface="+mn-ea"/>
                  <a:cs typeface="Segoe UI" panose="020B0502040204020203" pitchFamily="34" charset="0"/>
                </a:rPr>
                <a:pPr algn="r" rtl="0"/>
                <a:t> $222,648 </a:t>
              </a:fld>
              <a:endParaRPr lang="ur-PK" sz="1600" b="1">
                <a:solidFill>
                  <a:sysClr val="windowText" lastClr="000000"/>
                </a:solidFill>
                <a:effectLst/>
                <a:latin typeface="+mn-lt"/>
                <a:cs typeface="Segoe UI" panose="020B0502040204020203" pitchFamily="34" charset="0"/>
              </a:endParaRPr>
            </a:p>
          </xdr:txBody>
        </xdr:sp>
        <xdr:sp macro="" textlink="">
          <xdr:nvSpPr>
            <xdr:cNvPr id="73" name="Freeform: Shape 72">
              <a:extLst>
                <a:ext uri="{FF2B5EF4-FFF2-40B4-BE49-F238E27FC236}">
                  <a16:creationId xmlns:a16="http://schemas.microsoft.com/office/drawing/2014/main" id="{00000000-0008-0000-0000-000049000000}"/>
                </a:ext>
              </a:extLst>
            </xdr:cNvPr>
            <xdr:cNvSpPr/>
          </xdr:nvSpPr>
          <xdr:spPr>
            <a:xfrm>
              <a:off x="628858" y="3547249"/>
              <a:ext cx="2287725" cy="512524"/>
            </a:xfrm>
            <a:custGeom>
              <a:avLst/>
              <a:gdLst>
                <a:gd name="connsiteX0" fmla="*/ 0 w 2287725"/>
                <a:gd name="connsiteY0" fmla="*/ 0 h 910800"/>
                <a:gd name="connsiteX1" fmla="*/ 2287725 w 2287725"/>
                <a:gd name="connsiteY1" fmla="*/ 0 h 910800"/>
                <a:gd name="connsiteX2" fmla="*/ 2287725 w 2287725"/>
                <a:gd name="connsiteY2" fmla="*/ 910800 h 910800"/>
                <a:gd name="connsiteX3" fmla="*/ 0 w 2287725"/>
                <a:gd name="connsiteY3" fmla="*/ 910800 h 910800"/>
                <a:gd name="connsiteX4" fmla="*/ 0 w 2287725"/>
                <a:gd name="connsiteY4" fmla="*/ 0 h 9108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</a:cxnLst>
              <a:rect l="l" t="t" r="r" b="b"/>
              <a:pathLst>
                <a:path w="2287725" h="910800">
                  <a:moveTo>
                    <a:pt x="0" y="0"/>
                  </a:moveTo>
                  <a:lnTo>
                    <a:pt x="2287725" y="0"/>
                  </a:lnTo>
                  <a:lnTo>
                    <a:pt x="2287725" y="910800"/>
                  </a:lnTo>
                  <a:lnTo>
                    <a:pt x="0" y="9108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DDEBF7"/>
            </a:solidFill>
          </xdr:spPr>
          <xdr:style>
            <a:lnRef idx="0">
              <a:schemeClr val="dk1">
                <a:alpha val="0"/>
                <a:hueOff val="0"/>
                <a:satOff val="0"/>
                <a:lumOff val="0"/>
                <a:alphaOff val="0"/>
              </a:schemeClr>
            </a:lnRef>
            <a:fillRef idx="0">
              <a:schemeClr val="lt1">
                <a:alpha val="0"/>
                <a:hueOff val="0"/>
                <a:satOff val="0"/>
                <a:lumOff val="0"/>
                <a:alphaOff val="0"/>
              </a:schemeClr>
            </a:fillRef>
            <a:effectRef idx="0">
              <a:schemeClr val="lt1">
                <a:alpha val="0"/>
                <a:hueOff val="0"/>
                <a:satOff val="0"/>
                <a:lumOff val="0"/>
                <a:alphaOff val="0"/>
              </a:schemeClr>
            </a:effectRef>
            <a:fontRef idx="minor">
              <a:schemeClr val="tx1">
                <a:hueOff val="0"/>
                <a:satOff val="0"/>
                <a:lumOff val="0"/>
                <a:alphaOff val="0"/>
              </a:schemeClr>
            </a:fontRef>
          </xdr:style>
          <xdr:txBody>
            <a:bodyPr spcFirstLastPara="0" vert="horz" wrap="square" lIns="142240" tIns="50800" rIns="142240" bIns="50800" numCol="1" spcCol="1270" anchor="ctr" anchorCtr="0">
              <a:noAutofit/>
            </a:bodyPr>
            <a:lstStyle/>
            <a:p>
              <a:pPr marL="0" lvl="0" indent="0" algn="l" defTabSz="8890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</a:pPr>
              <a:r>
                <a:rPr lang="en-US" sz="1600" b="1" kern="1200">
                  <a:solidFill>
                    <a:sysClr val="windowText" lastClr="000000"/>
                  </a:solidFill>
                  <a:latin typeface="+mn-lt"/>
                  <a:cs typeface="Segoe UI" panose="020B0502040204020203" pitchFamily="34" charset="0"/>
                </a:rPr>
                <a:t>Bid</a:t>
              </a:r>
              <a:r>
                <a:rPr lang="en-US" sz="1600" b="1" kern="1200" baseline="0">
                  <a:solidFill>
                    <a:sysClr val="windowText" lastClr="000000"/>
                  </a:solidFill>
                  <a:latin typeface="+mn-lt"/>
                  <a:cs typeface="Segoe UI" panose="020B0502040204020203" pitchFamily="34" charset="0"/>
                </a:rPr>
                <a:t> Alternate</a:t>
              </a:r>
              <a:endParaRPr lang="ur-PK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endParaRPr>
            </a:p>
          </xdr:txBody>
        </xdr:sp>
        <xdr:sp macro="" textlink="'COST SUMMARY'!D11">
          <xdr:nvSpPr>
            <xdr:cNvPr id="75" name="Freeform: Shape 74">
              <a:extLst>
                <a:ext uri="{FF2B5EF4-FFF2-40B4-BE49-F238E27FC236}">
                  <a16:creationId xmlns:a16="http://schemas.microsoft.com/office/drawing/2014/main" id="{00000000-0008-0000-0000-00004B000000}"/>
                </a:ext>
              </a:extLst>
            </xdr:cNvPr>
            <xdr:cNvSpPr/>
          </xdr:nvSpPr>
          <xdr:spPr>
            <a:xfrm>
              <a:off x="3030933" y="3539343"/>
              <a:ext cx="2326986" cy="512953"/>
            </a:xfrm>
            <a:custGeom>
              <a:avLst/>
              <a:gdLst>
                <a:gd name="connsiteX0" fmla="*/ 0 w 2077736"/>
                <a:gd name="connsiteY0" fmla="*/ 0 h 512953"/>
                <a:gd name="connsiteX1" fmla="*/ 2077736 w 2077736"/>
                <a:gd name="connsiteY1" fmla="*/ 0 h 512953"/>
                <a:gd name="connsiteX2" fmla="*/ 2077736 w 2077736"/>
                <a:gd name="connsiteY2" fmla="*/ 512953 h 512953"/>
                <a:gd name="connsiteX3" fmla="*/ 0 w 2077736"/>
                <a:gd name="connsiteY3" fmla="*/ 512953 h 512953"/>
                <a:gd name="connsiteX4" fmla="*/ 0 w 2077736"/>
                <a:gd name="connsiteY4" fmla="*/ 0 h 512953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</a:cxnLst>
              <a:rect l="l" t="t" r="r" b="b"/>
              <a:pathLst>
                <a:path w="2077736" h="512953">
                  <a:moveTo>
                    <a:pt x="0" y="0"/>
                  </a:moveTo>
                  <a:lnTo>
                    <a:pt x="2077736" y="0"/>
                  </a:lnTo>
                  <a:lnTo>
                    <a:pt x="2077736" y="512953"/>
                  </a:lnTo>
                  <a:lnTo>
                    <a:pt x="0" y="512953"/>
                  </a:lnTo>
                  <a:lnTo>
                    <a:pt x="0" y="0"/>
                  </a:lnTo>
                  <a:close/>
                </a:path>
              </a:pathLst>
            </a:custGeom>
            <a:noFill/>
          </xdr:spPr>
          <xdr:style>
            <a:lnRef idx="2">
              <a:schemeClr val="lt1">
                <a:hueOff val="0"/>
                <a:satOff val="0"/>
                <a:lumOff val="0"/>
                <a:alphaOff val="0"/>
              </a:schemeClr>
            </a:lnRef>
            <a:fillRef idx="1">
              <a:schemeClr val="accent1">
                <a:hueOff val="0"/>
                <a:satOff val="0"/>
                <a:lumOff val="0"/>
                <a:alphaOff val="0"/>
              </a:schemeClr>
            </a:fillRef>
            <a:effectRef idx="0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  <xdr:txBody>
            <a:bodyPr spcFirstLastPara="0" vert="horz" wrap="square" lIns="175260" tIns="175260" rIns="175260" bIns="175260" numCol="1" spcCol="1270" anchor="ctr" anchorCtr="0">
              <a:noAutofit/>
            </a:bodyPr>
            <a:lstStyle/>
            <a:p>
              <a:pPr algn="r" rtl="0"/>
              <a:fld id="{9E8E268A-DF7F-4CB0-905C-BFFF7BBA7022}" type="TxLink">
                <a:rPr lang="en-US" sz="1600" b="1" i="0" u="none" strike="noStrike">
                  <a:solidFill>
                    <a:sysClr val="windowText" lastClr="000000"/>
                  </a:solidFill>
                  <a:effectLst/>
                  <a:latin typeface="+mn-lt"/>
                  <a:ea typeface="+mn-ea"/>
                  <a:cs typeface="Segoe UI" panose="020B0502040204020203" pitchFamily="34" charset="0"/>
                </a:rPr>
                <a:pPr algn="r" rtl="0"/>
                <a:t> $179,082 </a:t>
              </a:fld>
              <a:endParaRPr lang="ur-PK" sz="1600" b="1">
                <a:solidFill>
                  <a:sysClr val="windowText" lastClr="000000"/>
                </a:solidFill>
                <a:effectLst/>
                <a:latin typeface="+mn-lt"/>
                <a:cs typeface="Segoe UI" panose="020B0502040204020203" pitchFamily="34" charset="0"/>
              </a:endParaRPr>
            </a:p>
          </xdr:txBody>
        </xdr:sp>
        <xdr:sp macro="" textlink="">
          <xdr:nvSpPr>
            <xdr:cNvPr id="76" name="Freeform: Shape 75">
              <a:extLst>
                <a:ext uri="{FF2B5EF4-FFF2-40B4-BE49-F238E27FC236}">
                  <a16:creationId xmlns:a16="http://schemas.microsoft.com/office/drawing/2014/main" id="{00000000-0008-0000-0000-00004C000000}"/>
                </a:ext>
              </a:extLst>
            </xdr:cNvPr>
            <xdr:cNvSpPr/>
          </xdr:nvSpPr>
          <xdr:spPr>
            <a:xfrm>
              <a:off x="628858" y="4419823"/>
              <a:ext cx="2287725" cy="512523"/>
            </a:xfrm>
            <a:custGeom>
              <a:avLst/>
              <a:gdLst>
                <a:gd name="connsiteX0" fmla="*/ 0 w 2287725"/>
                <a:gd name="connsiteY0" fmla="*/ 0 h 910800"/>
                <a:gd name="connsiteX1" fmla="*/ 2287725 w 2287725"/>
                <a:gd name="connsiteY1" fmla="*/ 0 h 910800"/>
                <a:gd name="connsiteX2" fmla="*/ 2287725 w 2287725"/>
                <a:gd name="connsiteY2" fmla="*/ 910800 h 910800"/>
                <a:gd name="connsiteX3" fmla="*/ 0 w 2287725"/>
                <a:gd name="connsiteY3" fmla="*/ 910800 h 910800"/>
                <a:gd name="connsiteX4" fmla="*/ 0 w 2287725"/>
                <a:gd name="connsiteY4" fmla="*/ 0 h 9108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</a:cxnLst>
              <a:rect l="l" t="t" r="r" b="b"/>
              <a:pathLst>
                <a:path w="2287725" h="910800">
                  <a:moveTo>
                    <a:pt x="0" y="0"/>
                  </a:moveTo>
                  <a:lnTo>
                    <a:pt x="2287725" y="0"/>
                  </a:lnTo>
                  <a:lnTo>
                    <a:pt x="2287725" y="910800"/>
                  </a:lnTo>
                  <a:lnTo>
                    <a:pt x="0" y="9108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DDEBF7"/>
            </a:solidFill>
          </xdr:spPr>
          <xdr:style>
            <a:lnRef idx="0">
              <a:schemeClr val="dk1">
                <a:alpha val="0"/>
                <a:hueOff val="0"/>
                <a:satOff val="0"/>
                <a:lumOff val="0"/>
                <a:alphaOff val="0"/>
              </a:schemeClr>
            </a:lnRef>
            <a:fillRef idx="0">
              <a:schemeClr val="lt1">
                <a:alpha val="0"/>
                <a:hueOff val="0"/>
                <a:satOff val="0"/>
                <a:lumOff val="0"/>
                <a:alphaOff val="0"/>
              </a:schemeClr>
            </a:fillRef>
            <a:effectRef idx="0">
              <a:schemeClr val="lt1">
                <a:alpha val="0"/>
                <a:hueOff val="0"/>
                <a:satOff val="0"/>
                <a:lumOff val="0"/>
                <a:alphaOff val="0"/>
              </a:schemeClr>
            </a:effectRef>
            <a:fontRef idx="minor">
              <a:schemeClr val="tx1">
                <a:hueOff val="0"/>
                <a:satOff val="0"/>
                <a:lumOff val="0"/>
                <a:alphaOff val="0"/>
              </a:schemeClr>
            </a:fontRef>
          </xdr:style>
          <xdr:txBody>
            <a:bodyPr spcFirstLastPara="0" vert="horz" wrap="square" lIns="142240" tIns="50800" rIns="142240" bIns="50800" numCol="1" spcCol="1270" anchor="ctr" anchorCtr="0">
              <a:noAutofit/>
            </a:bodyPr>
            <a:lstStyle/>
            <a:p>
              <a:pPr marL="0" lvl="0" indent="0" algn="l" defTabSz="8890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</a:pPr>
              <a:r>
                <a:rPr lang="en-US" sz="1600" b="1" kern="1200">
                  <a:solidFill>
                    <a:sysClr val="windowText" lastClr="000000"/>
                  </a:solidFill>
                  <a:latin typeface="+mn-lt"/>
                  <a:cs typeface="Segoe UI" panose="020B0502040204020203" pitchFamily="34" charset="0"/>
                </a:rPr>
                <a:t>Separate Permit</a:t>
              </a:r>
              <a:endParaRPr lang="ur-PK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endParaRPr>
            </a:p>
          </xdr:txBody>
        </xdr:sp>
      </xdr:grpSp>
    </xdr:grpSp>
    <xdr:clientData/>
  </xdr:twoCellAnchor>
  <xdr:twoCellAnchor>
    <xdr:from>
      <xdr:col>0</xdr:col>
      <xdr:colOff>268941</xdr:colOff>
      <xdr:row>38</xdr:row>
      <xdr:rowOff>78440</xdr:rowOff>
    </xdr:from>
    <xdr:to>
      <xdr:col>18</xdr:col>
      <xdr:colOff>403411</xdr:colOff>
      <xdr:row>75</xdr:row>
      <xdr:rowOff>112058</xdr:rowOff>
    </xdr:to>
    <xdr:graphicFrame macro="">
      <xdr:nvGraphicFramePr>
        <xdr:cNvPr id="48" name="Chart 47">
          <a:extLst>
            <a:ext uri="{FF2B5EF4-FFF2-40B4-BE49-F238E27FC236}">
              <a16:creationId xmlns:a16="http://schemas.microsoft.com/office/drawing/2014/main" id="{8581636A-E86D-4A7E-980C-F295924D02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0.08738</cdr:x>
      <cdr:y>0</cdr:y>
    </cdr:from>
    <cdr:to>
      <cdr:x>0.92114</cdr:x>
      <cdr:y>0.10022</cdr:y>
    </cdr:to>
    <cdr:sp macro="" textlink="">
      <cdr:nvSpPr>
        <cdr:cNvPr id="2" name="TextBox 16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11000000}"/>
            </a:ext>
          </a:extLst>
        </cdr:cNvPr>
        <cdr:cNvSpPr txBox="1"/>
      </cdr:nvSpPr>
      <cdr:spPr>
        <a:xfrm xmlns:a="http://schemas.openxmlformats.org/drawingml/2006/main">
          <a:off x="459304" y="0"/>
          <a:ext cx="4382450" cy="5157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800" b="1">
              <a:latin typeface="Segoe UI" panose="020B0502040204020203" pitchFamily="34" charset="0"/>
              <a:cs typeface="Segoe UI" panose="020B0502040204020203" pitchFamily="34" charset="0"/>
            </a:rPr>
            <a:t>Cost Break-up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Custom 4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E36C09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>
    <tabColor rgb="FF92D050"/>
    <pageSetUpPr fitToPage="1"/>
  </sheetPr>
  <dimension ref="A1:V121"/>
  <sheetViews>
    <sheetView tabSelected="1" view="pageBreakPreview" zoomScale="40" zoomScaleNormal="40" zoomScaleSheetLayoutView="40" workbookViewId="0">
      <pane ySplit="1" topLeftCell="A2" activePane="bottomLeft" state="frozen"/>
      <selection pane="bottomLeft" activeCell="J34" sqref="J34"/>
    </sheetView>
  </sheetViews>
  <sheetFormatPr defaultColWidth="8.90625" defaultRowHeight="15.6" x14ac:dyDescent="0.25"/>
  <cols>
    <col min="1" max="1" width="15.54296875" style="4" customWidth="1"/>
    <col min="2" max="2" width="28.453125" style="4" customWidth="1"/>
    <col min="3" max="3" width="24.36328125" style="4" customWidth="1"/>
    <col min="4" max="4" width="10.54296875" style="4" customWidth="1"/>
    <col min="5" max="5" width="36" style="4" customWidth="1"/>
    <col min="6" max="6" width="73.7265625" style="6" bestFit="1" customWidth="1"/>
    <col min="7" max="7" width="7.81640625" style="5" bestFit="1" customWidth="1"/>
    <col min="8" max="8" width="9.90625" style="5" bestFit="1" customWidth="1"/>
    <col min="9" max="9" width="13.26953125" style="5" bestFit="1" customWidth="1"/>
    <col min="10" max="10" width="16.1796875" style="4" customWidth="1"/>
    <col min="11" max="11" width="28.5429687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3.26953125" style="1" bestFit="1" customWidth="1"/>
    <col min="19" max="20" width="21.7265625" style="1" bestFit="1" customWidth="1"/>
    <col min="21" max="21" width="5.5429687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53" t="s">
        <v>175</v>
      </c>
      <c r="B1" s="53" t="s">
        <v>176</v>
      </c>
      <c r="C1" s="53" t="s">
        <v>177</v>
      </c>
      <c r="D1" s="53" t="s">
        <v>178</v>
      </c>
      <c r="E1" s="53" t="s">
        <v>79</v>
      </c>
      <c r="F1" s="53" t="s">
        <v>179</v>
      </c>
      <c r="G1" s="58" t="s">
        <v>180</v>
      </c>
      <c r="H1" s="58" t="s">
        <v>181</v>
      </c>
      <c r="I1" s="58" t="s">
        <v>182</v>
      </c>
      <c r="J1" s="53" t="s">
        <v>183</v>
      </c>
      <c r="K1" s="58" t="s">
        <v>184</v>
      </c>
      <c r="L1" s="58" t="s">
        <v>185</v>
      </c>
      <c r="M1" s="58" t="s">
        <v>186</v>
      </c>
      <c r="N1" s="58" t="s">
        <v>187</v>
      </c>
      <c r="O1" s="59" t="s">
        <v>188</v>
      </c>
      <c r="P1" s="59" t="s">
        <v>189</v>
      </c>
      <c r="Q1" s="53" t="s">
        <v>190</v>
      </c>
      <c r="R1" s="53" t="s">
        <v>191</v>
      </c>
      <c r="S1" s="209" t="s">
        <v>192</v>
      </c>
      <c r="T1" s="210" t="s">
        <v>193</v>
      </c>
      <c r="U1" s="2"/>
      <c r="V1" s="2"/>
    </row>
    <row r="2" spans="1:22" s="40" customFormat="1" ht="21" x14ac:dyDescent="0.2">
      <c r="A2" s="314" t="s">
        <v>194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6"/>
      <c r="S2" s="307"/>
      <c r="T2" s="304"/>
    </row>
    <row r="3" spans="1:22" ht="21" x14ac:dyDescent="0.4">
      <c r="A3" s="108"/>
      <c r="B3" s="318" t="s">
        <v>195</v>
      </c>
      <c r="C3" s="318"/>
      <c r="D3" s="318"/>
      <c r="E3" s="318"/>
      <c r="F3" s="147"/>
      <c r="G3" s="144"/>
      <c r="H3" s="144"/>
      <c r="I3" s="144"/>
      <c r="J3" s="144"/>
      <c r="K3" s="144"/>
      <c r="L3" s="144"/>
      <c r="M3" s="144"/>
      <c r="N3" s="148"/>
      <c r="O3" s="148"/>
      <c r="P3" s="148"/>
      <c r="Q3" s="148"/>
      <c r="R3" s="101"/>
      <c r="S3" s="308"/>
      <c r="T3" s="305"/>
    </row>
    <row r="4" spans="1:22" ht="23.4" x14ac:dyDescent="0.4">
      <c r="A4" s="108"/>
      <c r="B4" s="34"/>
      <c r="C4" s="246"/>
      <c r="D4" s="247" t="s">
        <v>196</v>
      </c>
      <c r="E4" s="248">
        <f>Q116</f>
        <v>189392.05364290436</v>
      </c>
      <c r="F4" s="249"/>
      <c r="G4" s="208"/>
      <c r="H4" s="34"/>
      <c r="I4" s="263"/>
      <c r="J4" s="264" t="s">
        <v>15</v>
      </c>
      <c r="K4" s="265">
        <v>45929</v>
      </c>
      <c r="L4" s="266"/>
      <c r="M4" s="267"/>
      <c r="N4" s="267"/>
      <c r="O4" s="267"/>
      <c r="P4" s="267"/>
      <c r="Q4" s="268"/>
      <c r="R4" s="217"/>
      <c r="S4" s="308"/>
      <c r="T4" s="305"/>
    </row>
    <row r="5" spans="1:22" ht="21" x14ac:dyDescent="0.4">
      <c r="A5" s="108"/>
      <c r="B5" s="250"/>
      <c r="C5" s="218" t="s">
        <v>197</v>
      </c>
      <c r="D5" s="29">
        <v>8.8999999999999996E-2</v>
      </c>
      <c r="E5" s="23">
        <f>P116*D5</f>
        <v>6266.7896431233339</v>
      </c>
      <c r="F5" s="251" t="s">
        <v>198</v>
      </c>
      <c r="G5" s="208"/>
      <c r="H5" s="250"/>
      <c r="I5" s="219"/>
      <c r="J5" s="220" t="s">
        <v>17</v>
      </c>
      <c r="K5" s="221" t="s">
        <v>753</v>
      </c>
      <c r="L5" s="222"/>
      <c r="M5" s="223"/>
      <c r="N5" s="223"/>
      <c r="O5" s="223"/>
      <c r="P5" s="223"/>
      <c r="Q5" s="269"/>
      <c r="R5" s="217"/>
      <c r="S5" s="308"/>
      <c r="T5" s="305"/>
    </row>
    <row r="6" spans="1:22" ht="21" x14ac:dyDescent="0.4">
      <c r="A6" s="108"/>
      <c r="B6" s="250"/>
      <c r="C6" s="218" t="s">
        <v>199</v>
      </c>
      <c r="D6" s="30">
        <v>0.1</v>
      </c>
      <c r="E6" s="23">
        <f>P116*D6</f>
        <v>7041.336677666668</v>
      </c>
      <c r="F6" s="251" t="s">
        <v>200</v>
      </c>
      <c r="G6" s="208"/>
      <c r="H6" s="250"/>
      <c r="I6" s="219"/>
      <c r="J6" s="220" t="s">
        <v>19</v>
      </c>
      <c r="K6" s="224" t="s">
        <v>754</v>
      </c>
      <c r="L6" s="222"/>
      <c r="M6" s="223"/>
      <c r="N6" s="223"/>
      <c r="O6" s="223"/>
      <c r="P6" s="223"/>
      <c r="Q6" s="269"/>
      <c r="R6" s="217"/>
      <c r="S6" s="308"/>
      <c r="T6" s="305"/>
    </row>
    <row r="7" spans="1:22" ht="21" x14ac:dyDescent="0.4">
      <c r="A7" s="108"/>
      <c r="B7" s="250"/>
      <c r="C7" s="218" t="s">
        <v>201</v>
      </c>
      <c r="D7" s="31">
        <v>0.14000000000000001</v>
      </c>
      <c r="E7" s="24">
        <f>N116*D7</f>
        <v>16657.016161273277</v>
      </c>
      <c r="F7" s="251" t="s">
        <v>200</v>
      </c>
      <c r="G7" s="208"/>
      <c r="H7" s="250"/>
      <c r="I7" s="219"/>
      <c r="J7" s="220" t="s">
        <v>202</v>
      </c>
      <c r="K7" s="225" t="s">
        <v>203</v>
      </c>
      <c r="L7" s="222"/>
      <c r="M7" s="223"/>
      <c r="N7" s="223"/>
      <c r="O7" s="223"/>
      <c r="P7" s="223"/>
      <c r="Q7" s="269"/>
      <c r="R7" s="217"/>
      <c r="S7" s="308"/>
      <c r="T7" s="305"/>
    </row>
    <row r="8" spans="1:22" ht="21.6" thickBot="1" x14ac:dyDescent="0.45">
      <c r="A8" s="108"/>
      <c r="B8" s="250"/>
      <c r="C8" s="32" t="s">
        <v>12</v>
      </c>
      <c r="D8" s="33">
        <v>1.4999999999999999E-2</v>
      </c>
      <c r="E8" s="25">
        <f>(E4+E5+E6+E7)*D8</f>
        <v>3290.3579418745148</v>
      </c>
      <c r="F8" s="251" t="s">
        <v>204</v>
      </c>
      <c r="G8" s="208"/>
      <c r="H8" s="250"/>
      <c r="I8" s="219"/>
      <c r="J8" s="220"/>
      <c r="K8" s="225"/>
      <c r="L8" s="222"/>
      <c r="M8" s="223"/>
      <c r="N8" s="223"/>
      <c r="O8" s="223"/>
      <c r="P8" s="223"/>
      <c r="Q8" s="269"/>
      <c r="R8" s="217"/>
      <c r="S8" s="308"/>
      <c r="T8" s="305"/>
    </row>
    <row r="9" spans="1:22" ht="26.4" thickTop="1" x14ac:dyDescent="0.35">
      <c r="A9" s="108"/>
      <c r="B9" s="37"/>
      <c r="C9" s="252"/>
      <c r="D9" s="253" t="s">
        <v>205</v>
      </c>
      <c r="E9" s="254">
        <f>E4+E5+E6+E7+E8</f>
        <v>222647.55406684216</v>
      </c>
      <c r="F9" s="115"/>
      <c r="G9" s="208"/>
      <c r="H9" s="250"/>
      <c r="I9" s="219"/>
      <c r="J9" s="226" t="s">
        <v>206</v>
      </c>
      <c r="K9" s="26"/>
      <c r="L9" s="222"/>
      <c r="M9" s="223"/>
      <c r="N9" s="223"/>
      <c r="O9" s="223"/>
      <c r="P9" s="223"/>
      <c r="Q9" s="269"/>
      <c r="R9" s="217"/>
      <c r="S9" s="308"/>
      <c r="T9" s="305"/>
    </row>
    <row r="10" spans="1:22" ht="18" x14ac:dyDescent="0.35">
      <c r="A10" s="108"/>
      <c r="B10" s="144"/>
      <c r="C10" s="144"/>
      <c r="D10" s="144"/>
      <c r="E10" s="144"/>
      <c r="F10" s="144"/>
      <c r="G10" s="208"/>
      <c r="H10" s="250"/>
      <c r="I10" s="219"/>
      <c r="J10" s="226" t="s">
        <v>207</v>
      </c>
      <c r="K10" s="27"/>
      <c r="L10" s="222"/>
      <c r="M10" s="223"/>
      <c r="N10" s="223"/>
      <c r="O10" s="223"/>
      <c r="P10" s="223"/>
      <c r="Q10" s="269"/>
      <c r="R10" s="217"/>
      <c r="S10" s="308"/>
      <c r="T10" s="305"/>
    </row>
    <row r="11" spans="1:22" ht="18" x14ac:dyDescent="0.35">
      <c r="A11" s="108"/>
      <c r="B11" s="34"/>
      <c r="C11" s="35" t="s">
        <v>208</v>
      </c>
      <c r="D11" s="36">
        <v>0</v>
      </c>
      <c r="E11" s="255" t="s">
        <v>209</v>
      </c>
      <c r="F11" s="249"/>
      <c r="G11" s="208"/>
      <c r="H11" s="250"/>
      <c r="I11" s="219"/>
      <c r="J11" s="227" t="s">
        <v>210</v>
      </c>
      <c r="K11" s="27"/>
      <c r="L11" s="222"/>
      <c r="M11" s="223"/>
      <c r="N11" s="223"/>
      <c r="O11" s="223"/>
      <c r="P11" s="223"/>
      <c r="Q11" s="269"/>
      <c r="R11" s="217"/>
      <c r="S11" s="308"/>
      <c r="T11" s="305"/>
    </row>
    <row r="12" spans="1:22" ht="18" x14ac:dyDescent="0.35">
      <c r="A12" s="108"/>
      <c r="B12" s="37"/>
      <c r="C12" s="38" t="s">
        <v>211</v>
      </c>
      <c r="D12" s="39">
        <v>0.05</v>
      </c>
      <c r="E12" s="228" t="s">
        <v>212</v>
      </c>
      <c r="F12" s="101"/>
      <c r="G12" s="208"/>
      <c r="H12" s="250"/>
      <c r="I12" s="219"/>
      <c r="J12" s="227" t="s">
        <v>213</v>
      </c>
      <c r="K12" s="28"/>
      <c r="L12" s="222"/>
      <c r="M12" s="223"/>
      <c r="N12" s="223"/>
      <c r="O12" s="223"/>
      <c r="P12" s="223"/>
      <c r="Q12" s="269"/>
      <c r="R12" s="217"/>
      <c r="S12" s="308"/>
      <c r="T12" s="305"/>
    </row>
    <row r="13" spans="1:22" ht="18" x14ac:dyDescent="0.35">
      <c r="A13" s="108"/>
      <c r="B13" s="256" t="s">
        <v>214</v>
      </c>
      <c r="C13" s="257"/>
      <c r="D13" s="257"/>
      <c r="E13" s="258"/>
      <c r="F13" s="115"/>
      <c r="G13" s="208"/>
      <c r="H13" s="250"/>
      <c r="I13" s="219"/>
      <c r="J13" s="226" t="s">
        <v>215</v>
      </c>
      <c r="K13" s="27">
        <v>0</v>
      </c>
      <c r="L13" s="222"/>
      <c r="M13" s="223"/>
      <c r="N13" s="223"/>
      <c r="O13" s="223"/>
      <c r="P13" s="223"/>
      <c r="Q13" s="269"/>
      <c r="R13" s="217"/>
      <c r="S13" s="308"/>
      <c r="T13" s="305"/>
    </row>
    <row r="14" spans="1:22" ht="21" x14ac:dyDescent="0.35">
      <c r="A14" s="108"/>
      <c r="B14" s="229"/>
      <c r="C14" s="229"/>
      <c r="D14" s="142"/>
      <c r="E14" s="142"/>
      <c r="F14" s="147"/>
      <c r="G14" s="208"/>
      <c r="H14" s="250"/>
      <c r="I14" s="219"/>
      <c r="J14" s="226" t="s">
        <v>216</v>
      </c>
      <c r="K14" s="27">
        <v>0</v>
      </c>
      <c r="L14" s="222"/>
      <c r="M14" s="223"/>
      <c r="N14" s="223"/>
      <c r="O14" s="223"/>
      <c r="P14" s="223"/>
      <c r="Q14" s="269"/>
      <c r="R14" s="217"/>
      <c r="S14" s="308"/>
      <c r="T14" s="305"/>
    </row>
    <row r="15" spans="1:22" ht="21" x14ac:dyDescent="0.4">
      <c r="A15" s="108"/>
      <c r="B15" s="259" t="s">
        <v>217</v>
      </c>
      <c r="C15" s="260"/>
      <c r="D15" s="261"/>
      <c r="E15" s="261"/>
      <c r="F15" s="262"/>
      <c r="G15" s="208"/>
      <c r="H15" s="37"/>
      <c r="I15" s="270"/>
      <c r="J15" s="271"/>
      <c r="K15" s="28"/>
      <c r="L15" s="272"/>
      <c r="M15" s="273"/>
      <c r="N15" s="273"/>
      <c r="O15" s="273"/>
      <c r="P15" s="273"/>
      <c r="Q15" s="274"/>
      <c r="R15" s="217"/>
      <c r="S15" s="308"/>
      <c r="T15" s="305"/>
      <c r="U15" s="12"/>
    </row>
    <row r="16" spans="1:22" ht="21" x14ac:dyDescent="0.25">
      <c r="A16" s="108"/>
      <c r="B16" s="142"/>
      <c r="C16" s="142"/>
      <c r="D16" s="142"/>
      <c r="E16" s="317"/>
      <c r="F16" s="317"/>
      <c r="G16" s="144"/>
      <c r="H16" s="144"/>
      <c r="I16" s="144"/>
      <c r="J16" s="144"/>
      <c r="K16" s="144"/>
      <c r="L16" s="144"/>
      <c r="M16" s="144"/>
      <c r="N16" s="144"/>
      <c r="O16" s="144"/>
      <c r="P16" s="144"/>
      <c r="Q16" s="144"/>
      <c r="R16" s="230"/>
      <c r="S16" s="309"/>
      <c r="T16" s="306"/>
      <c r="U16" s="12"/>
    </row>
    <row r="17" spans="1:22" s="3" customFormat="1" ht="46.8" x14ac:dyDescent="0.25">
      <c r="A17" s="53" t="s">
        <v>175</v>
      </c>
      <c r="B17" s="53" t="s">
        <v>176</v>
      </c>
      <c r="C17" s="53" t="s">
        <v>177</v>
      </c>
      <c r="D17" s="53" t="s">
        <v>178</v>
      </c>
      <c r="E17" s="53" t="s">
        <v>79</v>
      </c>
      <c r="F17" s="277" t="s">
        <v>179</v>
      </c>
      <c r="G17" s="58" t="s">
        <v>180</v>
      </c>
      <c r="H17" s="58" t="s">
        <v>181</v>
      </c>
      <c r="I17" s="58" t="s">
        <v>182</v>
      </c>
      <c r="J17" s="53" t="s">
        <v>183</v>
      </c>
      <c r="K17" s="58" t="s">
        <v>184</v>
      </c>
      <c r="L17" s="58" t="s">
        <v>185</v>
      </c>
      <c r="M17" s="58" t="s">
        <v>186</v>
      </c>
      <c r="N17" s="58" t="s">
        <v>187</v>
      </c>
      <c r="O17" s="59" t="s">
        <v>188</v>
      </c>
      <c r="P17" s="59" t="s">
        <v>189</v>
      </c>
      <c r="Q17" s="53" t="s">
        <v>190</v>
      </c>
      <c r="R17" s="53" t="s">
        <v>191</v>
      </c>
      <c r="S17" s="209" t="s">
        <v>218</v>
      </c>
      <c r="T17" s="210" t="s">
        <v>219</v>
      </c>
      <c r="U17" s="2"/>
      <c r="V17" s="2"/>
    </row>
    <row r="18" spans="1:22" s="7" customFormat="1" x14ac:dyDescent="0.25">
      <c r="A18" s="75"/>
      <c r="B18" s="75"/>
      <c r="C18" s="75"/>
      <c r="D18" s="75" t="s">
        <v>44</v>
      </c>
      <c r="E18" s="284"/>
      <c r="F18" s="77" t="s">
        <v>220</v>
      </c>
      <c r="G18" s="76"/>
      <c r="H18" s="77"/>
      <c r="I18" s="78"/>
      <c r="J18" s="78"/>
      <c r="K18" s="77"/>
      <c r="L18" s="77"/>
      <c r="M18" s="77"/>
      <c r="N18" s="77"/>
      <c r="O18" s="77"/>
      <c r="P18" s="77"/>
      <c r="Q18" s="77"/>
      <c r="R18" s="231">
        <f>SUM(Q19:Q65)</f>
        <v>24839.246272554337</v>
      </c>
      <c r="S18" s="213"/>
      <c r="T18" s="214"/>
      <c r="U18" s="13">
        <f>SUM(Q67:Q115)</f>
        <v>164552.80737035003</v>
      </c>
    </row>
    <row r="19" spans="1:22" s="7" customFormat="1" x14ac:dyDescent="0.25">
      <c r="A19" s="232"/>
      <c r="B19" s="54"/>
      <c r="C19" s="54"/>
      <c r="D19" s="119"/>
      <c r="E19" s="285"/>
      <c r="F19" s="278" t="s">
        <v>245</v>
      </c>
      <c r="G19" s="55"/>
      <c r="H19" s="56"/>
      <c r="I19" s="57"/>
      <c r="J19" s="118"/>
      <c r="K19" s="60"/>
      <c r="L19" s="63"/>
      <c r="M19" s="64"/>
      <c r="N19" s="65"/>
      <c r="O19" s="67"/>
      <c r="P19" s="67"/>
      <c r="Q19" s="68"/>
      <c r="R19" s="275"/>
      <c r="S19" s="211"/>
      <c r="T19" s="212"/>
      <c r="U19" s="14"/>
    </row>
    <row r="20" spans="1:22" s="7" customFormat="1" x14ac:dyDescent="0.25">
      <c r="A20" s="232"/>
      <c r="B20" s="54"/>
      <c r="C20" s="54"/>
      <c r="D20" s="119"/>
      <c r="E20" s="285"/>
      <c r="F20" s="279" t="s">
        <v>760</v>
      </c>
      <c r="G20" s="55"/>
      <c r="H20" s="56"/>
      <c r="I20" s="57"/>
      <c r="J20" s="118"/>
      <c r="K20" s="60"/>
      <c r="L20" s="66"/>
      <c r="M20" s="64"/>
      <c r="N20" s="65"/>
      <c r="O20" s="67"/>
      <c r="P20" s="67"/>
      <c r="Q20" s="68"/>
      <c r="R20" s="276"/>
      <c r="S20" s="211"/>
      <c r="T20" s="212"/>
    </row>
    <row r="21" spans="1:22" s="7" customFormat="1" x14ac:dyDescent="0.25">
      <c r="A21" s="233">
        <f>IF(J21&lt;&gt;"",1+MAX($A$18:A19),"")</f>
        <v>1</v>
      </c>
      <c r="B21" s="54"/>
      <c r="C21" s="54"/>
      <c r="D21" s="119" t="s">
        <v>44</v>
      </c>
      <c r="E21" s="285" t="s">
        <v>45</v>
      </c>
      <c r="F21" s="278" t="s">
        <v>761</v>
      </c>
      <c r="G21" s="55">
        <v>1</v>
      </c>
      <c r="H21" s="56">
        <f>IF(VLOOKUP(J21,'HOURLY RATES'!B$116:C$124,2,0)=0,$J$3,VLOOKUP(J21,'HOURLY RATES'!B$116:C$124,2,0))</f>
        <v>0</v>
      </c>
      <c r="I21" s="57">
        <f>(G21*(1+H21))</f>
        <v>1</v>
      </c>
      <c r="J21" s="118" t="s">
        <v>221</v>
      </c>
      <c r="K21" s="62"/>
      <c r="L21" s="66">
        <f>K21*I21</f>
        <v>0</v>
      </c>
      <c r="M21" s="64">
        <f>IF(VLOOKUP(E21,'HOURLY RATES'!C$6:D$105,2,0)=0,$E$3,VLOOKUP(E21,'HOURLY RATES'!C$6:D$105,2,0))</f>
        <v>66.11</v>
      </c>
      <c r="N21" s="64">
        <f>M21*L21</f>
        <v>0</v>
      </c>
      <c r="O21" s="67"/>
      <c r="P21" s="67"/>
      <c r="Q21" s="68">
        <f>P21+N21</f>
        <v>0</v>
      </c>
      <c r="R21" s="276"/>
      <c r="S21" s="213">
        <f>((((N21*(1+$D$7))+(P21*(1+$D$5+$D$6)))*(1+$D$8)))/I21</f>
        <v>0</v>
      </c>
      <c r="T21" s="214">
        <f>S21*I21</f>
        <v>0</v>
      </c>
    </row>
    <row r="22" spans="1:22" s="7" customFormat="1" x14ac:dyDescent="0.25">
      <c r="A22" s="233">
        <f>IF(J22&lt;&gt;"",1+MAX($A$18:A21),"")</f>
        <v>2</v>
      </c>
      <c r="B22" s="54"/>
      <c r="C22" s="54"/>
      <c r="D22" s="119" t="s">
        <v>44</v>
      </c>
      <c r="E22" s="285" t="s">
        <v>45</v>
      </c>
      <c r="F22" s="278" t="s">
        <v>762</v>
      </c>
      <c r="G22" s="55">
        <v>1</v>
      </c>
      <c r="H22" s="56">
        <f>IF(VLOOKUP(J22,'HOURLY RATES'!B$116:C$124,2,0)=0,$J$3,VLOOKUP(J22,'HOURLY RATES'!B$116:C$124,2,0))</f>
        <v>0</v>
      </c>
      <c r="I22" s="57">
        <f t="shared" ref="I22:I31" si="0">(G22*(1+H22))</f>
        <v>1</v>
      </c>
      <c r="J22" s="118" t="s">
        <v>221</v>
      </c>
      <c r="K22" s="62"/>
      <c r="L22" s="66">
        <f t="shared" ref="L22:L31" si="1">K22*I22</f>
        <v>0</v>
      </c>
      <c r="M22" s="64">
        <f>IF(VLOOKUP(E22,'HOURLY RATES'!C$6:D$105,2,0)=0,$E$3,VLOOKUP(E22,'HOURLY RATES'!C$6:D$105,2,0))</f>
        <v>66.11</v>
      </c>
      <c r="N22" s="64">
        <f t="shared" ref="N22:N31" si="2">M22*L22</f>
        <v>0</v>
      </c>
      <c r="O22" s="67"/>
      <c r="P22" s="67"/>
      <c r="Q22" s="68">
        <f t="shared" ref="Q22:Q62" si="3">P22+N22</f>
        <v>0</v>
      </c>
      <c r="R22" s="276"/>
      <c r="S22" s="213">
        <f t="shared" ref="S22:S31" si="4">((((N22*(1+$D$7))+(P22*(1+$D$5+$D$6)))*(1+$D$8)))/I22</f>
        <v>0</v>
      </c>
      <c r="T22" s="214">
        <f t="shared" ref="T22:T31" si="5">S22*I22</f>
        <v>0</v>
      </c>
    </row>
    <row r="23" spans="1:22" s="7" customFormat="1" x14ac:dyDescent="0.25">
      <c r="A23" s="233">
        <f>IF(J23&lt;&gt;"",1+MAX($A$18:A22),"")</f>
        <v>3</v>
      </c>
      <c r="B23" s="54"/>
      <c r="C23" s="54"/>
      <c r="D23" s="119" t="s">
        <v>44</v>
      </c>
      <c r="E23" s="285" t="s">
        <v>45</v>
      </c>
      <c r="F23" s="278" t="s">
        <v>222</v>
      </c>
      <c r="G23" s="55">
        <v>1</v>
      </c>
      <c r="H23" s="56">
        <f>IF(VLOOKUP(J23,'HOURLY RATES'!B$116:C$124,2,0)=0,$J$3,VLOOKUP(J23,'HOURLY RATES'!B$116:C$124,2,0))</f>
        <v>0</v>
      </c>
      <c r="I23" s="57">
        <f t="shared" si="0"/>
        <v>1</v>
      </c>
      <c r="J23" s="118" t="s">
        <v>221</v>
      </c>
      <c r="K23" s="62"/>
      <c r="L23" s="66">
        <f t="shared" si="1"/>
        <v>0</v>
      </c>
      <c r="M23" s="64">
        <f>IF(VLOOKUP(E23,'HOURLY RATES'!C$6:D$105,2,0)=0,$E$3,VLOOKUP(E23,'HOURLY RATES'!C$6:D$105,2,0))</f>
        <v>66.11</v>
      </c>
      <c r="N23" s="64">
        <f t="shared" si="2"/>
        <v>0</v>
      </c>
      <c r="O23" s="67"/>
      <c r="P23" s="67"/>
      <c r="Q23" s="68">
        <f t="shared" si="3"/>
        <v>0</v>
      </c>
      <c r="R23" s="276"/>
      <c r="S23" s="213">
        <f t="shared" si="4"/>
        <v>0</v>
      </c>
      <c r="T23" s="214">
        <f t="shared" si="5"/>
        <v>0</v>
      </c>
    </row>
    <row r="24" spans="1:22" s="7" customFormat="1" x14ac:dyDescent="0.25">
      <c r="A24" s="233">
        <f>IF(J24&lt;&gt;"",1+MAX($A$18:A23),"")</f>
        <v>4</v>
      </c>
      <c r="B24" s="54"/>
      <c r="C24" s="54"/>
      <c r="D24" s="119" t="s">
        <v>44</v>
      </c>
      <c r="E24" s="285" t="s">
        <v>45</v>
      </c>
      <c r="F24" s="278" t="s">
        <v>763</v>
      </c>
      <c r="G24" s="55">
        <v>1</v>
      </c>
      <c r="H24" s="56">
        <f>IF(VLOOKUP(J24,'HOURLY RATES'!B$116:C$124,2,0)=0,$J$3,VLOOKUP(J24,'HOURLY RATES'!B$116:C$124,2,0))</f>
        <v>0</v>
      </c>
      <c r="I24" s="57">
        <f t="shared" si="0"/>
        <v>1</v>
      </c>
      <c r="J24" s="118" t="s">
        <v>221</v>
      </c>
      <c r="K24" s="62"/>
      <c r="L24" s="66">
        <f t="shared" si="1"/>
        <v>0</v>
      </c>
      <c r="M24" s="64">
        <f>IF(VLOOKUP(E24,'HOURLY RATES'!C$6:D$105,2,0)=0,$E$3,VLOOKUP(E24,'HOURLY RATES'!C$6:D$105,2,0))</f>
        <v>66.11</v>
      </c>
      <c r="N24" s="64">
        <f t="shared" si="2"/>
        <v>0</v>
      </c>
      <c r="O24" s="67"/>
      <c r="P24" s="67"/>
      <c r="Q24" s="68">
        <f t="shared" si="3"/>
        <v>0</v>
      </c>
      <c r="R24" s="276"/>
      <c r="S24" s="213">
        <f t="shared" si="4"/>
        <v>0</v>
      </c>
      <c r="T24" s="214">
        <f t="shared" si="5"/>
        <v>0</v>
      </c>
    </row>
    <row r="25" spans="1:22" s="7" customFormat="1" x14ac:dyDescent="0.25">
      <c r="A25" s="233">
        <f>IF(J25&lt;&gt;"",1+MAX($A$18:A24),"")</f>
        <v>5</v>
      </c>
      <c r="B25" s="54"/>
      <c r="C25" s="54"/>
      <c r="D25" s="119" t="s">
        <v>44</v>
      </c>
      <c r="E25" s="285" t="s">
        <v>45</v>
      </c>
      <c r="F25" s="278" t="s">
        <v>764</v>
      </c>
      <c r="G25" s="55">
        <v>1</v>
      </c>
      <c r="H25" s="56">
        <f>IF(VLOOKUP(J25,'HOURLY RATES'!B$116:C$124,2,0)=0,$J$3,VLOOKUP(J25,'HOURLY RATES'!B$116:C$124,2,0))</f>
        <v>0</v>
      </c>
      <c r="I25" s="57">
        <f t="shared" si="0"/>
        <v>1</v>
      </c>
      <c r="J25" s="118" t="s">
        <v>221</v>
      </c>
      <c r="K25" s="62"/>
      <c r="L25" s="66">
        <f t="shared" si="1"/>
        <v>0</v>
      </c>
      <c r="M25" s="64">
        <f>IF(VLOOKUP(E25,'HOURLY RATES'!C$6:D$105,2,0)=0,$E$3,VLOOKUP(E25,'HOURLY RATES'!C$6:D$105,2,0))</f>
        <v>66.11</v>
      </c>
      <c r="N25" s="64">
        <f t="shared" si="2"/>
        <v>0</v>
      </c>
      <c r="O25" s="67"/>
      <c r="P25" s="67"/>
      <c r="Q25" s="68">
        <f t="shared" si="3"/>
        <v>0</v>
      </c>
      <c r="R25" s="276"/>
      <c r="S25" s="213">
        <f t="shared" si="4"/>
        <v>0</v>
      </c>
      <c r="T25" s="214">
        <f t="shared" si="5"/>
        <v>0</v>
      </c>
    </row>
    <row r="26" spans="1:22" s="7" customFormat="1" x14ac:dyDescent="0.25">
      <c r="A26" s="233">
        <f>IF(J26&lt;&gt;"",1+MAX($A$18:A25),"")</f>
        <v>6</v>
      </c>
      <c r="B26" s="54"/>
      <c r="C26" s="54"/>
      <c r="D26" s="119" t="s">
        <v>44</v>
      </c>
      <c r="E26" s="285" t="s">
        <v>45</v>
      </c>
      <c r="F26" s="278" t="s">
        <v>223</v>
      </c>
      <c r="G26" s="55">
        <v>1</v>
      </c>
      <c r="H26" s="56">
        <f>IF(VLOOKUP(J26,'HOURLY RATES'!B$116:C$124,2,0)=0,$J$3,VLOOKUP(J26,'HOURLY RATES'!B$116:C$124,2,0))</f>
        <v>0</v>
      </c>
      <c r="I26" s="57">
        <f t="shared" si="0"/>
        <v>1</v>
      </c>
      <c r="J26" s="118" t="s">
        <v>221</v>
      </c>
      <c r="K26" s="62"/>
      <c r="L26" s="66">
        <f t="shared" si="1"/>
        <v>0</v>
      </c>
      <c r="M26" s="64">
        <f>IF(VLOOKUP(E26,'HOURLY RATES'!C$6:D$105,2,0)=0,$E$3,VLOOKUP(E26,'HOURLY RATES'!C$6:D$105,2,0))</f>
        <v>66.11</v>
      </c>
      <c r="N26" s="64">
        <f t="shared" si="2"/>
        <v>0</v>
      </c>
      <c r="O26" s="67"/>
      <c r="P26" s="67"/>
      <c r="Q26" s="68">
        <f t="shared" si="3"/>
        <v>0</v>
      </c>
      <c r="R26" s="276"/>
      <c r="S26" s="213">
        <f t="shared" si="4"/>
        <v>0</v>
      </c>
      <c r="T26" s="214">
        <f t="shared" si="5"/>
        <v>0</v>
      </c>
    </row>
    <row r="27" spans="1:22" s="7" customFormat="1" x14ac:dyDescent="0.25">
      <c r="A27" s="233">
        <f>IF(J27&lt;&gt;"",1+MAX($A$18:A26),"")</f>
        <v>7</v>
      </c>
      <c r="B27" s="54"/>
      <c r="C27" s="54"/>
      <c r="D27" s="119" t="s">
        <v>44</v>
      </c>
      <c r="E27" s="285" t="s">
        <v>45</v>
      </c>
      <c r="F27" s="278" t="s">
        <v>224</v>
      </c>
      <c r="G27" s="55">
        <v>1</v>
      </c>
      <c r="H27" s="56">
        <f>IF(VLOOKUP(J27,'HOURLY RATES'!B$116:C$124,2,0)=0,$J$3,VLOOKUP(J27,'HOURLY RATES'!B$116:C$124,2,0))</f>
        <v>0</v>
      </c>
      <c r="I27" s="57">
        <f t="shared" si="0"/>
        <v>1</v>
      </c>
      <c r="J27" s="118" t="s">
        <v>221</v>
      </c>
      <c r="K27" s="61">
        <f>1%*($U$18)/M27</f>
        <v>24.890758942724251</v>
      </c>
      <c r="L27" s="66">
        <f t="shared" si="1"/>
        <v>24.890758942724251</v>
      </c>
      <c r="M27" s="64">
        <f>IF(VLOOKUP(E27,'HOURLY RATES'!C$6:D$105,2,0)=0,$E$3,VLOOKUP(E27,'HOURLY RATES'!C$6:D$105,2,0))</f>
        <v>66.11</v>
      </c>
      <c r="N27" s="64">
        <f t="shared" si="2"/>
        <v>1645.5280737035002</v>
      </c>
      <c r="O27" s="67"/>
      <c r="P27" s="67"/>
      <c r="Q27" s="68">
        <f t="shared" si="3"/>
        <v>1645.5280737035002</v>
      </c>
      <c r="R27" s="276"/>
      <c r="S27" s="213">
        <f t="shared" si="4"/>
        <v>1904.0405340823202</v>
      </c>
      <c r="T27" s="214">
        <f t="shared" si="5"/>
        <v>1904.0405340823202</v>
      </c>
    </row>
    <row r="28" spans="1:22" s="7" customFormat="1" x14ac:dyDescent="0.25">
      <c r="A28" s="233">
        <f>IF(J28&lt;&gt;"",1+MAX($A$18:A27),"")</f>
        <v>8</v>
      </c>
      <c r="B28" s="54"/>
      <c r="C28" s="54"/>
      <c r="D28" s="119" t="s">
        <v>44</v>
      </c>
      <c r="E28" s="285" t="s">
        <v>45</v>
      </c>
      <c r="F28" s="278" t="s">
        <v>765</v>
      </c>
      <c r="G28" s="55">
        <v>1</v>
      </c>
      <c r="H28" s="56">
        <f>IF(VLOOKUP(J28,'HOURLY RATES'!B$116:C$124,2,0)=0,$J$3,VLOOKUP(J28,'HOURLY RATES'!B$116:C$124,2,0))</f>
        <v>0</v>
      </c>
      <c r="I28" s="57">
        <f t="shared" si="0"/>
        <v>1</v>
      </c>
      <c r="J28" s="118" t="s">
        <v>221</v>
      </c>
      <c r="K28" s="61"/>
      <c r="L28" s="66">
        <f t="shared" si="1"/>
        <v>0</v>
      </c>
      <c r="M28" s="64">
        <f>IF(VLOOKUP(E28,'HOURLY RATES'!C$6:D$105,2,0)=0,$E$3,VLOOKUP(E28,'HOURLY RATES'!C$6:D$105,2,0))</f>
        <v>66.11</v>
      </c>
      <c r="N28" s="64">
        <f t="shared" si="2"/>
        <v>0</v>
      </c>
      <c r="O28" s="67"/>
      <c r="P28" s="67"/>
      <c r="Q28" s="68">
        <f t="shared" si="3"/>
        <v>0</v>
      </c>
      <c r="R28" s="276"/>
      <c r="S28" s="213">
        <f t="shared" si="4"/>
        <v>0</v>
      </c>
      <c r="T28" s="214">
        <f t="shared" si="5"/>
        <v>0</v>
      </c>
    </row>
    <row r="29" spans="1:22" s="7" customFormat="1" x14ac:dyDescent="0.25">
      <c r="A29" s="233">
        <f>IF(J29&lt;&gt;"",1+MAX($A$18:A28),"")</f>
        <v>9</v>
      </c>
      <c r="B29" s="54"/>
      <c r="C29" s="54"/>
      <c r="D29" s="119" t="s">
        <v>44</v>
      </c>
      <c r="E29" s="285" t="s">
        <v>45</v>
      </c>
      <c r="F29" s="278" t="s">
        <v>225</v>
      </c>
      <c r="G29" s="55">
        <v>1</v>
      </c>
      <c r="H29" s="56">
        <f>IF(VLOOKUP(J29,'HOURLY RATES'!B$116:C$124,2,0)=0,$J$3,VLOOKUP(J29,'HOURLY RATES'!B$116:C$124,2,0))</f>
        <v>0</v>
      </c>
      <c r="I29" s="57">
        <f t="shared" si="0"/>
        <v>1</v>
      </c>
      <c r="J29" s="118" t="s">
        <v>221</v>
      </c>
      <c r="K29" s="61"/>
      <c r="L29" s="66">
        <f t="shared" si="1"/>
        <v>0</v>
      </c>
      <c r="M29" s="64">
        <f>IF(VLOOKUP(E29,'HOURLY RATES'!C$6:D$105,2,0)=0,$E$3,VLOOKUP(E29,'HOURLY RATES'!C$6:D$105,2,0))</f>
        <v>66.11</v>
      </c>
      <c r="N29" s="64">
        <f t="shared" si="2"/>
        <v>0</v>
      </c>
      <c r="O29" s="67"/>
      <c r="P29" s="67"/>
      <c r="Q29" s="68">
        <f t="shared" si="3"/>
        <v>0</v>
      </c>
      <c r="R29" s="276"/>
      <c r="S29" s="213">
        <f t="shared" si="4"/>
        <v>0</v>
      </c>
      <c r="T29" s="214">
        <f t="shared" si="5"/>
        <v>0</v>
      </c>
    </row>
    <row r="30" spans="1:22" s="7" customFormat="1" x14ac:dyDescent="0.25">
      <c r="A30" s="233">
        <f>IF(J30&lt;&gt;"",1+MAX($A$18:A29),"")</f>
        <v>10</v>
      </c>
      <c r="B30" s="54"/>
      <c r="C30" s="54"/>
      <c r="D30" s="119" t="s">
        <v>44</v>
      </c>
      <c r="E30" s="285" t="s">
        <v>45</v>
      </c>
      <c r="F30" s="278" t="s">
        <v>226</v>
      </c>
      <c r="G30" s="55">
        <v>1</v>
      </c>
      <c r="H30" s="56">
        <f>IF(VLOOKUP(J30,'HOURLY RATES'!B$116:C$124,2,0)=0,$J$3,VLOOKUP(J30,'HOURLY RATES'!B$116:C$124,2,0))</f>
        <v>0</v>
      </c>
      <c r="I30" s="57">
        <f t="shared" si="0"/>
        <v>1</v>
      </c>
      <c r="J30" s="118" t="s">
        <v>221</v>
      </c>
      <c r="K30" s="61"/>
      <c r="L30" s="66">
        <f t="shared" si="1"/>
        <v>0</v>
      </c>
      <c r="M30" s="64">
        <f>IF(VLOOKUP(E30,'HOURLY RATES'!C$6:D$105,2,0)=0,$E$3,VLOOKUP(E30,'HOURLY RATES'!C$6:D$105,2,0))</f>
        <v>66.11</v>
      </c>
      <c r="N30" s="64">
        <f t="shared" si="2"/>
        <v>0</v>
      </c>
      <c r="O30" s="67"/>
      <c r="P30" s="67"/>
      <c r="Q30" s="68">
        <f t="shared" si="3"/>
        <v>0</v>
      </c>
      <c r="R30" s="276"/>
      <c r="S30" s="213">
        <f t="shared" si="4"/>
        <v>0</v>
      </c>
      <c r="T30" s="214">
        <f t="shared" si="5"/>
        <v>0</v>
      </c>
    </row>
    <row r="31" spans="1:22" s="7" customFormat="1" x14ac:dyDescent="0.25">
      <c r="A31" s="233">
        <f>IF(J31&lt;&gt;"",1+MAX($A$18:A30),"")</f>
        <v>11</v>
      </c>
      <c r="B31" s="54"/>
      <c r="C31" s="54"/>
      <c r="D31" s="119" t="s">
        <v>44</v>
      </c>
      <c r="E31" s="285" t="s">
        <v>45</v>
      </c>
      <c r="F31" s="278" t="s">
        <v>766</v>
      </c>
      <c r="G31" s="55">
        <v>1</v>
      </c>
      <c r="H31" s="56">
        <f>IF(VLOOKUP(J31,'HOURLY RATES'!B$116:C$124,2,0)=0,$J$3,VLOOKUP(J31,'HOURLY RATES'!B$116:C$124,2,0))</f>
        <v>0</v>
      </c>
      <c r="I31" s="57">
        <f t="shared" si="0"/>
        <v>1</v>
      </c>
      <c r="J31" s="118" t="s">
        <v>221</v>
      </c>
      <c r="K31" s="61"/>
      <c r="L31" s="66">
        <f t="shared" si="1"/>
        <v>0</v>
      </c>
      <c r="M31" s="64">
        <f>IF(VLOOKUP(E31,'HOURLY RATES'!C$6:D$105,2,0)=0,$E$3,VLOOKUP(E31,'HOURLY RATES'!C$6:D$105,2,0))</f>
        <v>66.11</v>
      </c>
      <c r="N31" s="64">
        <f t="shared" si="2"/>
        <v>0</v>
      </c>
      <c r="O31" s="67"/>
      <c r="P31" s="67"/>
      <c r="Q31" s="68">
        <f t="shared" si="3"/>
        <v>0</v>
      </c>
      <c r="R31" s="276"/>
      <c r="S31" s="213">
        <f t="shared" si="4"/>
        <v>0</v>
      </c>
      <c r="T31" s="214">
        <f t="shared" si="5"/>
        <v>0</v>
      </c>
    </row>
    <row r="32" spans="1:22" s="7" customFormat="1" x14ac:dyDescent="0.25">
      <c r="A32" s="233" t="str">
        <f>IF(J32&lt;&gt;"",1+MAX($A$18:A31),"")</f>
        <v/>
      </c>
      <c r="B32" s="54"/>
      <c r="C32" s="54"/>
      <c r="D32" s="119"/>
      <c r="E32" s="285"/>
      <c r="F32" s="278" t="s">
        <v>245</v>
      </c>
      <c r="G32" s="55"/>
      <c r="H32" s="56"/>
      <c r="I32" s="57"/>
      <c r="J32" s="118"/>
      <c r="K32" s="61"/>
      <c r="L32" s="63"/>
      <c r="M32" s="64"/>
      <c r="N32" s="65"/>
      <c r="O32" s="67"/>
      <c r="P32" s="67"/>
      <c r="Q32" s="68"/>
      <c r="R32" s="276"/>
      <c r="S32" s="213"/>
      <c r="T32" s="214"/>
    </row>
    <row r="33" spans="1:20" s="7" customFormat="1" x14ac:dyDescent="0.25">
      <c r="A33" s="233" t="str">
        <f>IF(J33&lt;&gt;"",1+MAX($A$18:A32),"")</f>
        <v/>
      </c>
      <c r="B33" s="54"/>
      <c r="C33" s="54"/>
      <c r="D33" s="119"/>
      <c r="E33" s="285"/>
      <c r="F33" s="279" t="s">
        <v>72</v>
      </c>
      <c r="G33" s="55"/>
      <c r="H33" s="56"/>
      <c r="I33" s="57"/>
      <c r="J33" s="118"/>
      <c r="K33" s="61"/>
      <c r="L33" s="63"/>
      <c r="M33" s="64"/>
      <c r="N33" s="65"/>
      <c r="O33" s="67"/>
      <c r="P33" s="67"/>
      <c r="Q33" s="68"/>
      <c r="R33" s="276"/>
      <c r="S33" s="213"/>
      <c r="T33" s="214"/>
    </row>
    <row r="34" spans="1:20" s="7" customFormat="1" x14ac:dyDescent="0.25">
      <c r="A34" s="233">
        <f>IF(J34&lt;&gt;"",1+MAX($A$18:A33),"")</f>
        <v>12</v>
      </c>
      <c r="B34" s="54"/>
      <c r="C34" s="54"/>
      <c r="D34" s="119" t="s">
        <v>44</v>
      </c>
      <c r="E34" s="285" t="s">
        <v>45</v>
      </c>
      <c r="F34" s="278" t="s">
        <v>767</v>
      </c>
      <c r="G34" s="55">
        <v>1</v>
      </c>
      <c r="H34" s="56">
        <f>IF(VLOOKUP(J34,'HOURLY RATES'!B$116:C$124,2,0)=0,$J$3,VLOOKUP(J34,'HOURLY RATES'!B$116:C$124,2,0))</f>
        <v>0</v>
      </c>
      <c r="I34" s="57">
        <f t="shared" ref="I34:I36" si="6">(G34*(1+H34))</f>
        <v>1</v>
      </c>
      <c r="J34" s="118" t="s">
        <v>221</v>
      </c>
      <c r="K34" s="61">
        <f>0.288%*(U18)/M34</f>
        <v>7.1685385755045843</v>
      </c>
      <c r="L34" s="66">
        <f t="shared" ref="L34:L36" si="7">K34*I34</f>
        <v>7.1685385755045843</v>
      </c>
      <c r="M34" s="64">
        <f>IF(VLOOKUP(E34,'HOURLY RATES'!C$6:D$105,2,0)=0,$E$3,VLOOKUP(E34,'HOURLY RATES'!C$6:D$105,2,0))</f>
        <v>66.11</v>
      </c>
      <c r="N34" s="64">
        <f t="shared" ref="N34:N36" si="8">M34*L34</f>
        <v>473.91208522660804</v>
      </c>
      <c r="O34" s="67"/>
      <c r="P34" s="67"/>
      <c r="Q34" s="68">
        <f t="shared" ref="Q34:Q36" si="9">P34+N34</f>
        <v>473.91208522660804</v>
      </c>
      <c r="R34" s="276"/>
      <c r="S34" s="213">
        <f t="shared" ref="S34:S36" si="10">((((N34*(1+$D$7))+(P34*(1+$D$5+$D$6)))*(1+$D$8)))/I34</f>
        <v>548.36367381570813</v>
      </c>
      <c r="T34" s="214">
        <f t="shared" ref="T34:T36" si="11">S34*I34</f>
        <v>548.36367381570813</v>
      </c>
    </row>
    <row r="35" spans="1:20" s="7" customFormat="1" x14ac:dyDescent="0.25">
      <c r="A35" s="233">
        <f>IF(J35&lt;&gt;"",1+MAX($A$18:A34),"")</f>
        <v>13</v>
      </c>
      <c r="B35" s="54"/>
      <c r="C35" s="54"/>
      <c r="D35" s="119" t="s">
        <v>44</v>
      </c>
      <c r="E35" s="285" t="s">
        <v>45</v>
      </c>
      <c r="F35" s="278" t="s">
        <v>768</v>
      </c>
      <c r="G35" s="55">
        <v>1</v>
      </c>
      <c r="H35" s="56">
        <f>IF(VLOOKUP(J35,'HOURLY RATES'!B$116:C$124,2,0)=0,$J$3,VLOOKUP(J35,'HOURLY RATES'!B$116:C$124,2,0))</f>
        <v>0</v>
      </c>
      <c r="I35" s="57">
        <f t="shared" si="6"/>
        <v>1</v>
      </c>
      <c r="J35" s="118" t="s">
        <v>221</v>
      </c>
      <c r="K35" s="61">
        <f>0.257%*(U18)/M35</f>
        <v>6.3969250482801332</v>
      </c>
      <c r="L35" s="66">
        <f t="shared" si="7"/>
        <v>6.3969250482801332</v>
      </c>
      <c r="M35" s="64">
        <f>IF(VLOOKUP(E35,'HOURLY RATES'!C$6:D$105,2,0)=0,$E$3,VLOOKUP(E35,'HOURLY RATES'!C$6:D$105,2,0))</f>
        <v>66.11</v>
      </c>
      <c r="N35" s="64">
        <f t="shared" si="8"/>
        <v>422.90071494179961</v>
      </c>
      <c r="O35" s="67"/>
      <c r="P35" s="67"/>
      <c r="Q35" s="68">
        <f t="shared" si="9"/>
        <v>422.90071494179961</v>
      </c>
      <c r="R35" s="276"/>
      <c r="S35" s="213">
        <f t="shared" si="10"/>
        <v>489.33841725915636</v>
      </c>
      <c r="T35" s="214">
        <f t="shared" si="11"/>
        <v>489.33841725915636</v>
      </c>
    </row>
    <row r="36" spans="1:20" s="7" customFormat="1" x14ac:dyDescent="0.25">
      <c r="A36" s="233">
        <f>IF(J36&lt;&gt;"",1+MAX($A$18:A35),"")</f>
        <v>14</v>
      </c>
      <c r="B36" s="54"/>
      <c r="C36" s="54"/>
      <c r="D36" s="119" t="s">
        <v>44</v>
      </c>
      <c r="E36" s="285" t="s">
        <v>45</v>
      </c>
      <c r="F36" s="278" t="s">
        <v>769</v>
      </c>
      <c r="G36" s="55">
        <v>1</v>
      </c>
      <c r="H36" s="56">
        <f>IF(VLOOKUP(J36,'HOURLY RATES'!B$116:C$124,2,0)=0,$J$3,VLOOKUP(J36,'HOURLY RATES'!B$116:C$124,2,0))</f>
        <v>0</v>
      </c>
      <c r="I36" s="57">
        <f t="shared" si="6"/>
        <v>1</v>
      </c>
      <c r="J36" s="118" t="s">
        <v>221</v>
      </c>
      <c r="K36" s="61">
        <f>0.65%*(U18)/M36</f>
        <v>16.178993312770768</v>
      </c>
      <c r="L36" s="66">
        <f t="shared" si="7"/>
        <v>16.178993312770768</v>
      </c>
      <c r="M36" s="64">
        <f>IF(VLOOKUP(E36,'HOURLY RATES'!C$6:D$105,2,0)=0,$E$3,VLOOKUP(E36,'HOURLY RATES'!C$6:D$105,2,0))</f>
        <v>66.11</v>
      </c>
      <c r="N36" s="64">
        <f t="shared" si="8"/>
        <v>1069.5932479072756</v>
      </c>
      <c r="O36" s="67"/>
      <c r="P36" s="67"/>
      <c r="Q36" s="68">
        <f t="shared" si="9"/>
        <v>1069.5932479072756</v>
      </c>
      <c r="R36" s="276"/>
      <c r="S36" s="213">
        <f t="shared" si="10"/>
        <v>1237.6263471535085</v>
      </c>
      <c r="T36" s="214">
        <f t="shared" si="11"/>
        <v>1237.6263471535085</v>
      </c>
    </row>
    <row r="37" spans="1:20" s="7" customFormat="1" x14ac:dyDescent="0.25">
      <c r="A37" s="233" t="str">
        <f>IF(J37&lt;&gt;"",1+MAX($A$18:A36),"")</f>
        <v/>
      </c>
      <c r="B37" s="54"/>
      <c r="C37" s="54"/>
      <c r="D37" s="119"/>
      <c r="E37" s="285"/>
      <c r="F37" s="278" t="s">
        <v>245</v>
      </c>
      <c r="G37" s="55"/>
      <c r="H37" s="56"/>
      <c r="I37" s="57"/>
      <c r="J37" s="118"/>
      <c r="K37" s="61"/>
      <c r="L37" s="66"/>
      <c r="M37" s="64"/>
      <c r="N37" s="64"/>
      <c r="O37" s="67"/>
      <c r="P37" s="67"/>
      <c r="Q37" s="68"/>
      <c r="R37" s="276"/>
      <c r="S37" s="213"/>
      <c r="T37" s="214"/>
    </row>
    <row r="38" spans="1:20" s="7" customFormat="1" x14ac:dyDescent="0.25">
      <c r="A38" s="233" t="str">
        <f>IF(J38&lt;&gt;"",1+MAX($A$18:A37),"")</f>
        <v/>
      </c>
      <c r="B38" s="54"/>
      <c r="C38" s="54"/>
      <c r="D38" s="119"/>
      <c r="E38" s="285"/>
      <c r="F38" s="279" t="s">
        <v>770</v>
      </c>
      <c r="G38" s="55"/>
      <c r="H38" s="56"/>
      <c r="I38" s="57"/>
      <c r="J38" s="118"/>
      <c r="K38" s="61"/>
      <c r="L38" s="63"/>
      <c r="M38" s="64"/>
      <c r="N38" s="65"/>
      <c r="O38" s="67"/>
      <c r="P38" s="67"/>
      <c r="Q38" s="68"/>
      <c r="R38" s="276"/>
      <c r="S38" s="213"/>
      <c r="T38" s="214"/>
    </row>
    <row r="39" spans="1:20" s="7" customFormat="1" x14ac:dyDescent="0.25">
      <c r="A39" s="233">
        <f>IF(J39&lt;&gt;"",1+MAX($A$18:A38),"")</f>
        <v>15</v>
      </c>
      <c r="B39" s="54"/>
      <c r="C39" s="54"/>
      <c r="D39" s="119" t="s">
        <v>44</v>
      </c>
      <c r="E39" s="285" t="s">
        <v>45</v>
      </c>
      <c r="F39" s="278" t="s">
        <v>227</v>
      </c>
      <c r="G39" s="55">
        <v>1</v>
      </c>
      <c r="H39" s="56">
        <f>IF(VLOOKUP(J39,'HOURLY RATES'!B$116:C$124,2,0)=0,$J$3,VLOOKUP(J39,'HOURLY RATES'!B$116:C$124,2,0))</f>
        <v>0</v>
      </c>
      <c r="I39" s="57">
        <f t="shared" ref="I39:I44" si="12">(G39*(1+H39))</f>
        <v>1</v>
      </c>
      <c r="J39" s="118" t="s">
        <v>221</v>
      </c>
      <c r="K39" s="61"/>
      <c r="L39" s="66">
        <f t="shared" ref="L39:L44" si="13">K39*I39</f>
        <v>0</v>
      </c>
      <c r="M39" s="64">
        <f>IF(VLOOKUP(E39,'HOURLY RATES'!C$6:D$105,2,0)=0,$E$3,VLOOKUP(E39,'HOURLY RATES'!C$6:D$105,2,0))</f>
        <v>66.11</v>
      </c>
      <c r="N39" s="64">
        <f t="shared" ref="N39:N44" si="14">M39*L39</f>
        <v>0</v>
      </c>
      <c r="O39" s="67"/>
      <c r="P39" s="67"/>
      <c r="Q39" s="68">
        <f t="shared" si="3"/>
        <v>0</v>
      </c>
      <c r="R39" s="276"/>
      <c r="S39" s="213">
        <f t="shared" ref="S39:S44" si="15">((((N39*(1+$D$7))+(P39*(1+$D$5+$D$6)))*(1+$D$8)))/I39</f>
        <v>0</v>
      </c>
      <c r="T39" s="214">
        <f t="shared" ref="T39:T44" si="16">S39*I39</f>
        <v>0</v>
      </c>
    </row>
    <row r="40" spans="1:20" s="7" customFormat="1" x14ac:dyDescent="0.25">
      <c r="A40" s="233">
        <f>IF(J40&lt;&gt;"",1+MAX($A$18:A39),"")</f>
        <v>16</v>
      </c>
      <c r="B40" s="54"/>
      <c r="C40" s="54"/>
      <c r="D40" s="119" t="s">
        <v>44</v>
      </c>
      <c r="E40" s="285" t="s">
        <v>45</v>
      </c>
      <c r="F40" s="278" t="s">
        <v>228</v>
      </c>
      <c r="G40" s="55">
        <v>1</v>
      </c>
      <c r="H40" s="56">
        <f>IF(VLOOKUP(J40,'HOURLY RATES'!B$116:C$124,2,0)=0,$J$3,VLOOKUP(J40,'HOURLY RATES'!B$116:C$124,2,0))</f>
        <v>0</v>
      </c>
      <c r="I40" s="57">
        <f t="shared" si="12"/>
        <v>1</v>
      </c>
      <c r="J40" s="118" t="s">
        <v>221</v>
      </c>
      <c r="K40" s="61"/>
      <c r="L40" s="66">
        <f t="shared" si="13"/>
        <v>0</v>
      </c>
      <c r="M40" s="64">
        <f>IF(VLOOKUP(E40,'HOURLY RATES'!C$6:D$105,2,0)=0,$E$3,VLOOKUP(E40,'HOURLY RATES'!C$6:D$105,2,0))</f>
        <v>66.11</v>
      </c>
      <c r="N40" s="64">
        <f t="shared" si="14"/>
        <v>0</v>
      </c>
      <c r="O40" s="67"/>
      <c r="P40" s="67"/>
      <c r="Q40" s="68">
        <f t="shared" si="3"/>
        <v>0</v>
      </c>
      <c r="R40" s="276"/>
      <c r="S40" s="213">
        <f t="shared" si="15"/>
        <v>0</v>
      </c>
      <c r="T40" s="214">
        <f t="shared" si="16"/>
        <v>0</v>
      </c>
    </row>
    <row r="41" spans="1:20" s="7" customFormat="1" x14ac:dyDescent="0.25">
      <c r="A41" s="233">
        <f>IF(J41&lt;&gt;"",1+MAX($A$18:A40),"")</f>
        <v>17</v>
      </c>
      <c r="B41" s="54"/>
      <c r="C41" s="54"/>
      <c r="D41" s="119" t="s">
        <v>44</v>
      </c>
      <c r="E41" s="285" t="s">
        <v>45</v>
      </c>
      <c r="F41" s="278" t="s">
        <v>229</v>
      </c>
      <c r="G41" s="55">
        <v>1</v>
      </c>
      <c r="H41" s="56">
        <f>IF(VLOOKUP(J41,'HOURLY RATES'!B$116:C$124,2,0)=0,$J$3,VLOOKUP(J41,'HOURLY RATES'!B$116:C$124,2,0))</f>
        <v>0</v>
      </c>
      <c r="I41" s="57">
        <f t="shared" si="12"/>
        <v>1</v>
      </c>
      <c r="J41" s="118" t="s">
        <v>221</v>
      </c>
      <c r="K41" s="61"/>
      <c r="L41" s="66">
        <f t="shared" si="13"/>
        <v>0</v>
      </c>
      <c r="M41" s="64">
        <f>IF(VLOOKUP(E41,'HOURLY RATES'!C$6:D$105,2,0)=0,$E$3,VLOOKUP(E41,'HOURLY RATES'!C$6:D$105,2,0))</f>
        <v>66.11</v>
      </c>
      <c r="N41" s="64">
        <f t="shared" si="14"/>
        <v>0</v>
      </c>
      <c r="O41" s="67"/>
      <c r="P41" s="67"/>
      <c r="Q41" s="68">
        <f t="shared" si="3"/>
        <v>0</v>
      </c>
      <c r="R41" s="276"/>
      <c r="S41" s="213">
        <f t="shared" si="15"/>
        <v>0</v>
      </c>
      <c r="T41" s="214">
        <f t="shared" si="16"/>
        <v>0</v>
      </c>
    </row>
    <row r="42" spans="1:20" s="7" customFormat="1" x14ac:dyDescent="0.25">
      <c r="A42" s="233">
        <f>IF(J42&lt;&gt;"",1+MAX($A$18:A41),"")</f>
        <v>18</v>
      </c>
      <c r="B42" s="54"/>
      <c r="C42" s="54"/>
      <c r="D42" s="119" t="s">
        <v>44</v>
      </c>
      <c r="E42" s="285" t="s">
        <v>45</v>
      </c>
      <c r="F42" s="278" t="s">
        <v>230</v>
      </c>
      <c r="G42" s="55">
        <v>1</v>
      </c>
      <c r="H42" s="56">
        <f>IF(VLOOKUP(J42,'HOURLY RATES'!B$116:C$124,2,0)=0,$J$3,VLOOKUP(J42,'HOURLY RATES'!B$116:C$124,2,0))</f>
        <v>0</v>
      </c>
      <c r="I42" s="57">
        <f t="shared" si="12"/>
        <v>1</v>
      </c>
      <c r="J42" s="118" t="s">
        <v>221</v>
      </c>
      <c r="K42" s="61"/>
      <c r="L42" s="66">
        <f t="shared" si="13"/>
        <v>0</v>
      </c>
      <c r="M42" s="64">
        <f>IF(VLOOKUP(E42,'HOURLY RATES'!C$6:D$105,2,0)=0,$E$3,VLOOKUP(E42,'HOURLY RATES'!C$6:D$105,2,0))</f>
        <v>66.11</v>
      </c>
      <c r="N42" s="64">
        <f t="shared" si="14"/>
        <v>0</v>
      </c>
      <c r="O42" s="67"/>
      <c r="P42" s="67"/>
      <c r="Q42" s="68">
        <f t="shared" si="3"/>
        <v>0</v>
      </c>
      <c r="R42" s="276"/>
      <c r="S42" s="213">
        <f t="shared" si="15"/>
        <v>0</v>
      </c>
      <c r="T42" s="214">
        <f t="shared" si="16"/>
        <v>0</v>
      </c>
    </row>
    <row r="43" spans="1:20" s="7" customFormat="1" x14ac:dyDescent="0.25">
      <c r="A43" s="233">
        <f>IF(J43&lt;&gt;"",1+MAX($A$18:A42),"")</f>
        <v>19</v>
      </c>
      <c r="B43" s="54"/>
      <c r="C43" s="54"/>
      <c r="D43" s="119" t="s">
        <v>44</v>
      </c>
      <c r="E43" s="285" t="s">
        <v>45</v>
      </c>
      <c r="F43" s="278" t="s">
        <v>231</v>
      </c>
      <c r="G43" s="55">
        <v>1</v>
      </c>
      <c r="H43" s="56">
        <f>IF(VLOOKUP(J43,'HOURLY RATES'!B$116:C$124,2,0)=0,$J$3,VLOOKUP(J43,'HOURLY RATES'!B$116:C$124,2,0))</f>
        <v>0</v>
      </c>
      <c r="I43" s="57">
        <f t="shared" si="12"/>
        <v>1</v>
      </c>
      <c r="J43" s="118" t="s">
        <v>221</v>
      </c>
      <c r="K43" s="61"/>
      <c r="L43" s="66">
        <f t="shared" si="13"/>
        <v>0</v>
      </c>
      <c r="M43" s="64">
        <f>IF(VLOOKUP(E43,'HOURLY RATES'!C$6:D$105,2,0)=0,$E$3,VLOOKUP(E43,'HOURLY RATES'!C$6:D$105,2,0))</f>
        <v>66.11</v>
      </c>
      <c r="N43" s="64">
        <f t="shared" si="14"/>
        <v>0</v>
      </c>
      <c r="O43" s="67"/>
      <c r="P43" s="67"/>
      <c r="Q43" s="68">
        <f t="shared" si="3"/>
        <v>0</v>
      </c>
      <c r="R43" s="276"/>
      <c r="S43" s="213">
        <f t="shared" si="15"/>
        <v>0</v>
      </c>
      <c r="T43" s="214">
        <f t="shared" si="16"/>
        <v>0</v>
      </c>
    </row>
    <row r="44" spans="1:20" s="7" customFormat="1" x14ac:dyDescent="0.25">
      <c r="A44" s="234">
        <f>IF(J44&lt;&gt;"",1+MAX($A$18:A43),"")</f>
        <v>20</v>
      </c>
      <c r="B44" s="54"/>
      <c r="C44" s="54"/>
      <c r="D44" s="119" t="s">
        <v>44</v>
      </c>
      <c r="E44" s="285" t="s">
        <v>45</v>
      </c>
      <c r="F44" s="278" t="s">
        <v>232</v>
      </c>
      <c r="G44" s="55">
        <v>1</v>
      </c>
      <c r="H44" s="56">
        <f>IF(VLOOKUP(J44,'HOURLY RATES'!B$116:C$124,2,0)=0,$J$3,VLOOKUP(J44,'HOURLY RATES'!B$116:C$124,2,0))</f>
        <v>0</v>
      </c>
      <c r="I44" s="57">
        <f t="shared" si="12"/>
        <v>1</v>
      </c>
      <c r="J44" s="118" t="s">
        <v>221</v>
      </c>
      <c r="K44" s="61">
        <f>4%*($U$18)/M44</f>
        <v>99.563035770897002</v>
      </c>
      <c r="L44" s="66">
        <f t="shared" si="13"/>
        <v>99.563035770897002</v>
      </c>
      <c r="M44" s="64">
        <f>IF(VLOOKUP(E44,'HOURLY RATES'!C$6:D$105,2,0)=0,$E$3,VLOOKUP(E44,'HOURLY RATES'!C$6:D$105,2,0))</f>
        <v>66.11</v>
      </c>
      <c r="N44" s="64">
        <f t="shared" si="14"/>
        <v>6582.112294814001</v>
      </c>
      <c r="O44" s="67"/>
      <c r="P44" s="67"/>
      <c r="Q44" s="68">
        <f t="shared" si="3"/>
        <v>6582.112294814001</v>
      </c>
      <c r="R44" s="276"/>
      <c r="S44" s="213">
        <f t="shared" si="15"/>
        <v>7616.1621363292807</v>
      </c>
      <c r="T44" s="214">
        <f t="shared" si="16"/>
        <v>7616.1621363292807</v>
      </c>
    </row>
    <row r="45" spans="1:20" s="7" customFormat="1" x14ac:dyDescent="0.25">
      <c r="A45" s="233" t="str">
        <f>IF(J45&lt;&gt;"",1+MAX($A$18:A44),"")</f>
        <v/>
      </c>
      <c r="B45" s="54"/>
      <c r="C45" s="54"/>
      <c r="D45" s="119"/>
      <c r="E45" s="285"/>
      <c r="F45" s="278" t="s">
        <v>245</v>
      </c>
      <c r="G45" s="55"/>
      <c r="H45" s="56"/>
      <c r="I45" s="57"/>
      <c r="J45" s="118"/>
      <c r="K45" s="61"/>
      <c r="L45" s="63"/>
      <c r="M45" s="64"/>
      <c r="N45" s="64"/>
      <c r="O45" s="67"/>
      <c r="P45" s="67"/>
      <c r="Q45" s="68"/>
      <c r="R45" s="276"/>
      <c r="S45" s="213"/>
      <c r="T45" s="214"/>
    </row>
    <row r="46" spans="1:20" s="7" customFormat="1" x14ac:dyDescent="0.25">
      <c r="A46" s="233" t="str">
        <f>IF(J46&lt;&gt;"",1+MAX($A$18:A45),"")</f>
        <v/>
      </c>
      <c r="B46" s="54"/>
      <c r="C46" s="54"/>
      <c r="D46" s="119"/>
      <c r="E46" s="285"/>
      <c r="F46" s="279" t="s">
        <v>771</v>
      </c>
      <c r="G46" s="55"/>
      <c r="H46" s="56"/>
      <c r="I46" s="57"/>
      <c r="J46" s="118"/>
      <c r="K46" s="61"/>
      <c r="L46" s="63"/>
      <c r="M46" s="64"/>
      <c r="N46" s="64"/>
      <c r="O46" s="67"/>
      <c r="P46" s="67"/>
      <c r="Q46" s="68"/>
      <c r="R46" s="276"/>
      <c r="S46" s="213"/>
      <c r="T46" s="214"/>
    </row>
    <row r="47" spans="1:20" s="7" customFormat="1" x14ac:dyDescent="0.25">
      <c r="A47" s="233">
        <f>IF(J47&lt;&gt;"",1+MAX($A$18:A46),"")</f>
        <v>21</v>
      </c>
      <c r="B47" s="54"/>
      <c r="C47" s="54"/>
      <c r="D47" s="119" t="s">
        <v>44</v>
      </c>
      <c r="E47" s="285" t="s">
        <v>45</v>
      </c>
      <c r="F47" s="278" t="s">
        <v>233</v>
      </c>
      <c r="G47" s="55">
        <v>1</v>
      </c>
      <c r="H47" s="56">
        <f>IF(VLOOKUP(J47,'HOURLY RATES'!B$116:C$124,2,0)=0,$J$3,VLOOKUP(J47,'HOURLY RATES'!B$116:C$124,2,0))</f>
        <v>0</v>
      </c>
      <c r="I47" s="57">
        <f t="shared" ref="I47:I51" si="17">(G47*(1+H47))</f>
        <v>1</v>
      </c>
      <c r="J47" s="118" t="s">
        <v>221</v>
      </c>
      <c r="K47" s="61"/>
      <c r="L47" s="66">
        <f t="shared" ref="L47:L51" si="18">K47*I47</f>
        <v>0</v>
      </c>
      <c r="M47" s="64">
        <f>IF(VLOOKUP(E47,'HOURLY RATES'!C$6:D$105,2,0)=0,$E$3,VLOOKUP(E47,'HOURLY RATES'!C$6:D$105,2,0))</f>
        <v>66.11</v>
      </c>
      <c r="N47" s="64">
        <f t="shared" ref="N47:N51" si="19">M47*L47</f>
        <v>0</v>
      </c>
      <c r="O47" s="67"/>
      <c r="P47" s="67"/>
      <c r="Q47" s="68">
        <f t="shared" si="3"/>
        <v>0</v>
      </c>
      <c r="R47" s="276"/>
      <c r="S47" s="213">
        <f t="shared" ref="S47:S51" si="20">((((N47*(1+$D$7))+(P47*(1+$D$5+$D$6)))*(1+$D$8)))/I47</f>
        <v>0</v>
      </c>
      <c r="T47" s="214">
        <f t="shared" ref="T47:T51" si="21">S47*I47</f>
        <v>0</v>
      </c>
    </row>
    <row r="48" spans="1:20" s="7" customFormat="1" x14ac:dyDescent="0.25">
      <c r="A48" s="233">
        <f>IF(J48&lt;&gt;"",1+MAX($A$18:A47),"")</f>
        <v>22</v>
      </c>
      <c r="B48" s="54"/>
      <c r="C48" s="54"/>
      <c r="D48" s="119" t="s">
        <v>44</v>
      </c>
      <c r="E48" s="285" t="s">
        <v>45</v>
      </c>
      <c r="F48" s="278" t="s">
        <v>234</v>
      </c>
      <c r="G48" s="55">
        <v>1</v>
      </c>
      <c r="H48" s="56">
        <f>IF(VLOOKUP(J48,'HOURLY RATES'!B$116:C$124,2,0)=0,$J$3,VLOOKUP(J48,'HOURLY RATES'!B$116:C$124,2,0))</f>
        <v>0</v>
      </c>
      <c r="I48" s="57">
        <f t="shared" si="17"/>
        <v>1</v>
      </c>
      <c r="J48" s="118" t="s">
        <v>221</v>
      </c>
      <c r="K48" s="61"/>
      <c r="L48" s="66">
        <f t="shared" si="18"/>
        <v>0</v>
      </c>
      <c r="M48" s="64">
        <f>IF(VLOOKUP(E48,'HOURLY RATES'!C$6:D$105,2,0)=0,$E$3,VLOOKUP(E48,'HOURLY RATES'!C$6:D$105,2,0))</f>
        <v>66.11</v>
      </c>
      <c r="N48" s="64">
        <f t="shared" si="19"/>
        <v>0</v>
      </c>
      <c r="O48" s="67"/>
      <c r="P48" s="67"/>
      <c r="Q48" s="68">
        <f t="shared" si="3"/>
        <v>0</v>
      </c>
      <c r="R48" s="276"/>
      <c r="S48" s="213">
        <f t="shared" si="20"/>
        <v>0</v>
      </c>
      <c r="T48" s="214">
        <f t="shared" si="21"/>
        <v>0</v>
      </c>
    </row>
    <row r="49" spans="1:20" s="7" customFormat="1" x14ac:dyDescent="0.25">
      <c r="A49" s="233">
        <f>IF(J49&lt;&gt;"",1+MAX($A$18:A48),"")</f>
        <v>23</v>
      </c>
      <c r="B49" s="54"/>
      <c r="C49" s="54"/>
      <c r="D49" s="119" t="s">
        <v>44</v>
      </c>
      <c r="E49" s="285" t="s">
        <v>45</v>
      </c>
      <c r="F49" s="278" t="s">
        <v>235</v>
      </c>
      <c r="G49" s="55">
        <v>1</v>
      </c>
      <c r="H49" s="56">
        <f>IF(VLOOKUP(J49,'HOURLY RATES'!B$116:C$124,2,0)=0,$J$3,VLOOKUP(J49,'HOURLY RATES'!B$116:C$124,2,0))</f>
        <v>0</v>
      </c>
      <c r="I49" s="57">
        <f t="shared" si="17"/>
        <v>1</v>
      </c>
      <c r="J49" s="118" t="s">
        <v>221</v>
      </c>
      <c r="K49" s="61"/>
      <c r="L49" s="66">
        <f t="shared" si="18"/>
        <v>0</v>
      </c>
      <c r="M49" s="64">
        <f>IF(VLOOKUP(E49,'HOURLY RATES'!C$6:D$105,2,0)=0,$E$3,VLOOKUP(E49,'HOURLY RATES'!C$6:D$105,2,0))</f>
        <v>66.11</v>
      </c>
      <c r="N49" s="64">
        <f t="shared" si="19"/>
        <v>0</v>
      </c>
      <c r="O49" s="67"/>
      <c r="P49" s="67"/>
      <c r="Q49" s="68">
        <f t="shared" si="3"/>
        <v>0</v>
      </c>
      <c r="R49" s="276"/>
      <c r="S49" s="213">
        <f t="shared" si="20"/>
        <v>0</v>
      </c>
      <c r="T49" s="214">
        <f t="shared" si="21"/>
        <v>0</v>
      </c>
    </row>
    <row r="50" spans="1:20" s="7" customFormat="1" x14ac:dyDescent="0.25">
      <c r="A50" s="233">
        <f>IF(J50&lt;&gt;"",1+MAX($A$18:A49),"")</f>
        <v>24</v>
      </c>
      <c r="B50" s="54"/>
      <c r="C50" s="54"/>
      <c r="D50" s="119" t="s">
        <v>44</v>
      </c>
      <c r="E50" s="285" t="s">
        <v>45</v>
      </c>
      <c r="F50" s="278" t="s">
        <v>772</v>
      </c>
      <c r="G50" s="55">
        <v>1</v>
      </c>
      <c r="H50" s="56">
        <f>IF(VLOOKUP(J50,'HOURLY RATES'!B$116:C$124,2,0)=0,$J$3,VLOOKUP(J50,'HOURLY RATES'!B$116:C$124,2,0))</f>
        <v>0</v>
      </c>
      <c r="I50" s="57">
        <f t="shared" si="17"/>
        <v>1</v>
      </c>
      <c r="J50" s="118" t="s">
        <v>221</v>
      </c>
      <c r="K50" s="61"/>
      <c r="L50" s="66">
        <f t="shared" si="18"/>
        <v>0</v>
      </c>
      <c r="M50" s="64">
        <f>IF(VLOOKUP(E50,'HOURLY RATES'!C$6:D$105,2,0)=0,$E$3,VLOOKUP(E50,'HOURLY RATES'!C$6:D$105,2,0))</f>
        <v>66.11</v>
      </c>
      <c r="N50" s="64">
        <f t="shared" si="19"/>
        <v>0</v>
      </c>
      <c r="O50" s="67"/>
      <c r="P50" s="67"/>
      <c r="Q50" s="68">
        <f t="shared" si="3"/>
        <v>0</v>
      </c>
      <c r="R50" s="276"/>
      <c r="S50" s="213">
        <f t="shared" si="20"/>
        <v>0</v>
      </c>
      <c r="T50" s="214">
        <f t="shared" si="21"/>
        <v>0</v>
      </c>
    </row>
    <row r="51" spans="1:20" s="7" customFormat="1" x14ac:dyDescent="0.25">
      <c r="A51" s="233">
        <f>IF(J51&lt;&gt;"",1+MAX($A$18:A50),"")</f>
        <v>25</v>
      </c>
      <c r="B51" s="54"/>
      <c r="C51" s="54"/>
      <c r="D51" s="119" t="s">
        <v>44</v>
      </c>
      <c r="E51" s="285" t="s">
        <v>45</v>
      </c>
      <c r="F51" s="278" t="s">
        <v>236</v>
      </c>
      <c r="G51" s="55">
        <v>1</v>
      </c>
      <c r="H51" s="56">
        <f>IF(VLOOKUP(J51,'HOURLY RATES'!B$116:C$124,2,0)=0,$J$3,VLOOKUP(J51,'HOURLY RATES'!B$116:C$124,2,0))</f>
        <v>0</v>
      </c>
      <c r="I51" s="57">
        <f t="shared" si="17"/>
        <v>1</v>
      </c>
      <c r="J51" s="118" t="s">
        <v>221</v>
      </c>
      <c r="K51" s="61"/>
      <c r="L51" s="66">
        <f t="shared" si="18"/>
        <v>0</v>
      </c>
      <c r="M51" s="64">
        <f>IF(VLOOKUP(E51,'HOURLY RATES'!C$6:D$105,2,0)=0,$E$3,VLOOKUP(E51,'HOURLY RATES'!C$6:D$105,2,0))</f>
        <v>66.11</v>
      </c>
      <c r="N51" s="64">
        <f t="shared" si="19"/>
        <v>0</v>
      </c>
      <c r="O51" s="67"/>
      <c r="P51" s="67"/>
      <c r="Q51" s="68">
        <f t="shared" si="3"/>
        <v>0</v>
      </c>
      <c r="R51" s="276"/>
      <c r="S51" s="213">
        <f t="shared" si="20"/>
        <v>0</v>
      </c>
      <c r="T51" s="214">
        <f t="shared" si="21"/>
        <v>0</v>
      </c>
    </row>
    <row r="52" spans="1:20" s="7" customFormat="1" x14ac:dyDescent="0.25">
      <c r="A52" s="233" t="str">
        <f>IF(J52&lt;&gt;"",1+MAX($A$18:A51),"")</f>
        <v/>
      </c>
      <c r="B52" s="54"/>
      <c r="C52" s="54"/>
      <c r="D52" s="119"/>
      <c r="E52" s="285"/>
      <c r="F52" s="278" t="s">
        <v>245</v>
      </c>
      <c r="G52" s="55"/>
      <c r="H52" s="56"/>
      <c r="I52" s="57"/>
      <c r="J52" s="118"/>
      <c r="K52" s="61"/>
      <c r="L52" s="63"/>
      <c r="M52" s="64"/>
      <c r="N52" s="64"/>
      <c r="O52" s="67"/>
      <c r="P52" s="67"/>
      <c r="Q52" s="68"/>
      <c r="R52" s="276"/>
      <c r="S52" s="213"/>
      <c r="T52" s="214"/>
    </row>
    <row r="53" spans="1:20" s="7" customFormat="1" x14ac:dyDescent="0.25">
      <c r="A53" s="233" t="str">
        <f>IF(J53&lt;&gt;"",1+MAX($A$18:A52),"")</f>
        <v/>
      </c>
      <c r="B53" s="54"/>
      <c r="C53" s="54"/>
      <c r="D53" s="119"/>
      <c r="E53" s="285"/>
      <c r="F53" s="279" t="s">
        <v>773</v>
      </c>
      <c r="G53" s="55"/>
      <c r="H53" s="56"/>
      <c r="I53" s="57"/>
      <c r="J53" s="118"/>
      <c r="K53" s="61"/>
      <c r="L53" s="63"/>
      <c r="M53" s="64"/>
      <c r="N53" s="64"/>
      <c r="O53" s="67"/>
      <c r="P53" s="67"/>
      <c r="Q53" s="68"/>
      <c r="R53" s="276"/>
      <c r="S53" s="213"/>
      <c r="T53" s="214"/>
    </row>
    <row r="54" spans="1:20" s="7" customFormat="1" x14ac:dyDescent="0.25">
      <c r="A54" s="233">
        <f>IF(J54&lt;&gt;"",1+MAX($A$18:A53),"")</f>
        <v>26</v>
      </c>
      <c r="B54" s="54"/>
      <c r="C54" s="69"/>
      <c r="D54" s="119" t="s">
        <v>44</v>
      </c>
      <c r="E54" s="285" t="s">
        <v>45</v>
      </c>
      <c r="F54" s="278" t="s">
        <v>237</v>
      </c>
      <c r="G54" s="55">
        <v>1</v>
      </c>
      <c r="H54" s="56">
        <f>IF(VLOOKUP(J54,'HOURLY RATES'!B$116:C$124,2,0)=0,$J$3,VLOOKUP(J54,'HOURLY RATES'!B$116:C$124,2,0))</f>
        <v>0</v>
      </c>
      <c r="I54" s="57">
        <f t="shared" ref="I54:I57" si="22">(G54*(1+H54))</f>
        <v>1</v>
      </c>
      <c r="J54" s="118" t="s">
        <v>221</v>
      </c>
      <c r="K54" s="61"/>
      <c r="L54" s="66">
        <f t="shared" ref="L54:L57" si="23">K54*I54</f>
        <v>0</v>
      </c>
      <c r="M54" s="64">
        <f>IF(VLOOKUP(E54,'HOURLY RATES'!C$6:D$105,2,0)=0,$E$3,VLOOKUP(E54,'HOURLY RATES'!C$6:D$105,2,0))</f>
        <v>66.11</v>
      </c>
      <c r="N54" s="64">
        <f t="shared" ref="N54:N57" si="24">M54*L54</f>
        <v>0</v>
      </c>
      <c r="O54" s="67"/>
      <c r="P54" s="67"/>
      <c r="Q54" s="68">
        <f t="shared" si="3"/>
        <v>0</v>
      </c>
      <c r="R54" s="276"/>
      <c r="S54" s="213">
        <f t="shared" ref="S54:S57" si="25">((((N54*(1+$D$7))+(P54*(1+$D$5+$D$6)))*(1+$D$8)))/I54</f>
        <v>0</v>
      </c>
      <c r="T54" s="214">
        <f t="shared" ref="T54:T57" si="26">S54*I54</f>
        <v>0</v>
      </c>
    </row>
    <row r="55" spans="1:20" s="7" customFormat="1" x14ac:dyDescent="0.25">
      <c r="A55" s="233">
        <f>IF(J55&lt;&gt;"",1+MAX($A$18:A54),"")</f>
        <v>27</v>
      </c>
      <c r="B55" s="54"/>
      <c r="C55" s="69"/>
      <c r="D55" s="119" t="s">
        <v>44</v>
      </c>
      <c r="E55" s="285" t="s">
        <v>45</v>
      </c>
      <c r="F55" s="278" t="s">
        <v>238</v>
      </c>
      <c r="G55" s="55">
        <v>1</v>
      </c>
      <c r="H55" s="56">
        <f>IF(VLOOKUP(J55,'HOURLY RATES'!B$116:C$124,2,0)=0,$J$3,VLOOKUP(J55,'HOURLY RATES'!B$116:C$124,2,0))</f>
        <v>0</v>
      </c>
      <c r="I55" s="57">
        <f t="shared" si="22"/>
        <v>1</v>
      </c>
      <c r="J55" s="118" t="s">
        <v>221</v>
      </c>
      <c r="K55" s="61">
        <f>0.65%*(U18)/M55</f>
        <v>16.178993312770768</v>
      </c>
      <c r="L55" s="66">
        <f t="shared" si="23"/>
        <v>16.178993312770768</v>
      </c>
      <c r="M55" s="64">
        <f>IF(VLOOKUP(E55,'HOURLY RATES'!C$6:D$105,2,0)=0,$E$3,VLOOKUP(E55,'HOURLY RATES'!C$6:D$105,2,0))</f>
        <v>66.11</v>
      </c>
      <c r="N55" s="64">
        <f t="shared" si="24"/>
        <v>1069.5932479072756</v>
      </c>
      <c r="O55" s="67"/>
      <c r="P55" s="67"/>
      <c r="Q55" s="68">
        <f t="shared" si="3"/>
        <v>1069.5932479072756</v>
      </c>
      <c r="R55" s="276"/>
      <c r="S55" s="213">
        <f t="shared" si="25"/>
        <v>1237.6263471535085</v>
      </c>
      <c r="T55" s="214">
        <f t="shared" si="26"/>
        <v>1237.6263471535085</v>
      </c>
    </row>
    <row r="56" spans="1:20" s="7" customFormat="1" x14ac:dyDescent="0.25">
      <c r="A56" s="233">
        <f>IF(J56&lt;&gt;"",1+MAX($A$18:A55),"")</f>
        <v>28</v>
      </c>
      <c r="B56" s="54"/>
      <c r="C56" s="69"/>
      <c r="D56" s="119" t="s">
        <v>44</v>
      </c>
      <c r="E56" s="285" t="s">
        <v>45</v>
      </c>
      <c r="F56" s="278" t="s">
        <v>774</v>
      </c>
      <c r="G56" s="55">
        <v>1</v>
      </c>
      <c r="H56" s="56">
        <f>IF(VLOOKUP(J56,'HOURLY RATES'!B$116:C$124,2,0)=0,$J$3,VLOOKUP(J56,'HOURLY RATES'!B$116:C$124,2,0))</f>
        <v>0</v>
      </c>
      <c r="I56" s="57">
        <f t="shared" si="22"/>
        <v>1</v>
      </c>
      <c r="J56" s="118" t="s">
        <v>221</v>
      </c>
      <c r="K56" s="61"/>
      <c r="L56" s="66">
        <f t="shared" si="23"/>
        <v>0</v>
      </c>
      <c r="M56" s="64">
        <f>IF(VLOOKUP(E56,'HOURLY RATES'!C$6:D$105,2,0)=0,$E$3,VLOOKUP(E56,'HOURLY RATES'!C$6:D$105,2,0))</f>
        <v>66.11</v>
      </c>
      <c r="N56" s="64">
        <f t="shared" si="24"/>
        <v>0</v>
      </c>
      <c r="O56" s="67"/>
      <c r="P56" s="67"/>
      <c r="Q56" s="68">
        <f t="shared" si="3"/>
        <v>0</v>
      </c>
      <c r="R56" s="276"/>
      <c r="S56" s="213">
        <f t="shared" si="25"/>
        <v>0</v>
      </c>
      <c r="T56" s="214">
        <f t="shared" si="26"/>
        <v>0</v>
      </c>
    </row>
    <row r="57" spans="1:20" s="7" customFormat="1" x14ac:dyDescent="0.25">
      <c r="A57" s="233">
        <f>IF(J57&lt;&gt;"",1+MAX($A$18:A56),"")</f>
        <v>29</v>
      </c>
      <c r="B57" s="54"/>
      <c r="C57" s="69"/>
      <c r="D57" s="119" t="s">
        <v>44</v>
      </c>
      <c r="E57" s="285" t="s">
        <v>45</v>
      </c>
      <c r="F57" s="278" t="s">
        <v>239</v>
      </c>
      <c r="G57" s="55">
        <v>1</v>
      </c>
      <c r="H57" s="56">
        <f>IF(VLOOKUP(J57,'HOURLY RATES'!B$116:C$124,2,0)=0,$J$3,VLOOKUP(J57,'HOURLY RATES'!B$116:C$124,2,0))</f>
        <v>0</v>
      </c>
      <c r="I57" s="57">
        <f t="shared" si="22"/>
        <v>1</v>
      </c>
      <c r="J57" s="118" t="s">
        <v>221</v>
      </c>
      <c r="K57" s="61"/>
      <c r="L57" s="66">
        <f t="shared" si="23"/>
        <v>0</v>
      </c>
      <c r="M57" s="64">
        <f>IF(VLOOKUP(E57,'HOURLY RATES'!C$6:D$105,2,0)=0,$E$3,VLOOKUP(E57,'HOURLY RATES'!C$6:D$105,2,0))</f>
        <v>66.11</v>
      </c>
      <c r="N57" s="64">
        <f t="shared" si="24"/>
        <v>0</v>
      </c>
      <c r="O57" s="67"/>
      <c r="P57" s="67"/>
      <c r="Q57" s="68">
        <f t="shared" si="3"/>
        <v>0</v>
      </c>
      <c r="R57" s="276"/>
      <c r="S57" s="213">
        <f t="shared" si="25"/>
        <v>0</v>
      </c>
      <c r="T57" s="214">
        <f t="shared" si="26"/>
        <v>0</v>
      </c>
    </row>
    <row r="58" spans="1:20" s="7" customFormat="1" x14ac:dyDescent="0.25">
      <c r="A58" s="233" t="str">
        <f>IF(J58&lt;&gt;"",1+MAX($A$18:A57),"")</f>
        <v/>
      </c>
      <c r="B58" s="54"/>
      <c r="C58" s="69"/>
      <c r="D58" s="119"/>
      <c r="E58" s="285"/>
      <c r="F58" s="278" t="s">
        <v>245</v>
      </c>
      <c r="G58" s="55"/>
      <c r="H58" s="56"/>
      <c r="I58" s="57"/>
      <c r="J58" s="118"/>
      <c r="K58" s="61"/>
      <c r="L58" s="63"/>
      <c r="M58" s="64"/>
      <c r="N58" s="64"/>
      <c r="O58" s="67"/>
      <c r="P58" s="67"/>
      <c r="Q58" s="68"/>
      <c r="R58" s="276"/>
      <c r="S58" s="213"/>
      <c r="T58" s="214"/>
    </row>
    <row r="59" spans="1:20" s="7" customFormat="1" x14ac:dyDescent="0.25">
      <c r="A59" s="233" t="str">
        <f>IF(J59&lt;&gt;"",1+MAX($A$18:A58),"")</f>
        <v/>
      </c>
      <c r="B59" s="54"/>
      <c r="C59" s="69"/>
      <c r="D59" s="119"/>
      <c r="E59" s="285"/>
      <c r="F59" s="279" t="s">
        <v>240</v>
      </c>
      <c r="G59" s="55"/>
      <c r="H59" s="56"/>
      <c r="I59" s="57"/>
      <c r="J59" s="118"/>
      <c r="K59" s="61"/>
      <c r="L59" s="63"/>
      <c r="M59" s="64"/>
      <c r="N59" s="64"/>
      <c r="O59" s="67"/>
      <c r="P59" s="67"/>
      <c r="Q59" s="68"/>
      <c r="R59" s="276"/>
      <c r="S59" s="213"/>
      <c r="T59" s="214"/>
    </row>
    <row r="60" spans="1:20" s="7" customFormat="1" x14ac:dyDescent="0.25">
      <c r="A60" s="233">
        <f>IF(J60&lt;&gt;"",1+MAX($A$18:A59),"")</f>
        <v>30</v>
      </c>
      <c r="B60" s="54"/>
      <c r="C60" s="69"/>
      <c r="D60" s="119" t="s">
        <v>44</v>
      </c>
      <c r="E60" s="285" t="s">
        <v>45</v>
      </c>
      <c r="F60" s="278" t="s">
        <v>241</v>
      </c>
      <c r="G60" s="55">
        <v>1</v>
      </c>
      <c r="H60" s="56">
        <f>IF(VLOOKUP(J60,'HOURLY RATES'!B$116:C$124,2,0)=0,$J$3,VLOOKUP(J60,'HOURLY RATES'!B$116:C$124,2,0))</f>
        <v>0</v>
      </c>
      <c r="I60" s="57">
        <f t="shared" ref="I60:I62" si="27">(G60*(1+H60))</f>
        <v>1</v>
      </c>
      <c r="J60" s="118" t="s">
        <v>221</v>
      </c>
      <c r="K60" s="61"/>
      <c r="L60" s="66">
        <f t="shared" ref="L60:L62" si="28">K60*I60</f>
        <v>0</v>
      </c>
      <c r="M60" s="64">
        <f>IF(VLOOKUP(E60,'HOURLY RATES'!C$6:D$105,2,0)=0,$E$3,VLOOKUP(E60,'HOURLY RATES'!C$6:D$105,2,0))</f>
        <v>66.11</v>
      </c>
      <c r="N60" s="64">
        <f t="shared" ref="N60:N62" si="29">M60*L60</f>
        <v>0</v>
      </c>
      <c r="O60" s="67"/>
      <c r="P60" s="67"/>
      <c r="Q60" s="68">
        <f t="shared" si="3"/>
        <v>0</v>
      </c>
      <c r="R60" s="276"/>
      <c r="S60" s="213">
        <f t="shared" ref="S60:S62" si="30">((((N60*(1+$D$7))+(P60*(1+$D$5+$D$6)))*(1+$D$8)))/I60</f>
        <v>0</v>
      </c>
      <c r="T60" s="214">
        <f t="shared" ref="T60:T62" si="31">S60*I60</f>
        <v>0</v>
      </c>
    </row>
    <row r="61" spans="1:20" s="7" customFormat="1" x14ac:dyDescent="0.25">
      <c r="A61" s="233">
        <f>IF(J61&lt;&gt;"",1+MAX($A$18:A60),"")</f>
        <v>31</v>
      </c>
      <c r="B61" s="54"/>
      <c r="C61" s="69"/>
      <c r="D61" s="119" t="s">
        <v>44</v>
      </c>
      <c r="E61" s="285" t="s">
        <v>45</v>
      </c>
      <c r="F61" s="278" t="s">
        <v>242</v>
      </c>
      <c r="G61" s="55">
        <v>1</v>
      </c>
      <c r="H61" s="56">
        <f>IF(VLOOKUP(J61,'HOURLY RATES'!B$116:C$124,2,0)=0,$J$3,VLOOKUP(J61,'HOURLY RATES'!B$116:C$124,2,0))</f>
        <v>0</v>
      </c>
      <c r="I61" s="57">
        <f t="shared" si="27"/>
        <v>1</v>
      </c>
      <c r="J61" s="118" t="s">
        <v>221</v>
      </c>
      <c r="K61" s="61"/>
      <c r="L61" s="66">
        <f t="shared" si="28"/>
        <v>0</v>
      </c>
      <c r="M61" s="64">
        <f>IF(VLOOKUP(E61,'HOURLY RATES'!C$6:D$105,2,0)=0,$E$3,VLOOKUP(E61,'HOURLY RATES'!C$6:D$105,2,0))</f>
        <v>66.11</v>
      </c>
      <c r="N61" s="64">
        <f t="shared" si="29"/>
        <v>0</v>
      </c>
      <c r="O61" s="67"/>
      <c r="P61" s="67"/>
      <c r="Q61" s="68">
        <f t="shared" si="3"/>
        <v>0</v>
      </c>
      <c r="R61" s="276"/>
      <c r="S61" s="213">
        <f t="shared" si="30"/>
        <v>0</v>
      </c>
      <c r="T61" s="214">
        <f t="shared" si="31"/>
        <v>0</v>
      </c>
    </row>
    <row r="62" spans="1:20" s="7" customFormat="1" x14ac:dyDescent="0.25">
      <c r="A62" s="233">
        <f>IF(J62&lt;&gt;"",1+MAX($A$18:A61),"")</f>
        <v>32</v>
      </c>
      <c r="B62" s="54"/>
      <c r="C62" s="69"/>
      <c r="D62" s="119" t="s">
        <v>44</v>
      </c>
      <c r="E62" s="285" t="s">
        <v>45</v>
      </c>
      <c r="F62" s="278" t="s">
        <v>243</v>
      </c>
      <c r="G62" s="55">
        <v>1</v>
      </c>
      <c r="H62" s="56">
        <f>IF(VLOOKUP(J62,'HOURLY RATES'!B$116:C$124,2,0)=0,$J$3,VLOOKUP(J62,'HOURLY RATES'!B$116:C$124,2,0))</f>
        <v>0</v>
      </c>
      <c r="I62" s="57">
        <f t="shared" si="27"/>
        <v>1</v>
      </c>
      <c r="J62" s="118" t="s">
        <v>221</v>
      </c>
      <c r="K62" s="61"/>
      <c r="L62" s="66">
        <f t="shared" si="28"/>
        <v>0</v>
      </c>
      <c r="M62" s="64">
        <f>IF(VLOOKUP(E62,'HOURLY RATES'!C$6:D$105,2,0)=0,$E$3,VLOOKUP(E62,'HOURLY RATES'!C$6:D$105,2,0))</f>
        <v>66.11</v>
      </c>
      <c r="N62" s="64">
        <f t="shared" si="29"/>
        <v>0</v>
      </c>
      <c r="O62" s="67"/>
      <c r="P62" s="67"/>
      <c r="Q62" s="68">
        <f t="shared" si="3"/>
        <v>0</v>
      </c>
      <c r="R62" s="276"/>
      <c r="S62" s="213">
        <f t="shared" si="30"/>
        <v>0</v>
      </c>
      <c r="T62" s="214">
        <f t="shared" si="31"/>
        <v>0</v>
      </c>
    </row>
    <row r="63" spans="1:20" s="7" customFormat="1" x14ac:dyDescent="0.25">
      <c r="A63" s="233" t="str">
        <f>IF(J63&lt;&gt;"",1+MAX($A$18:A62),"")</f>
        <v/>
      </c>
      <c r="B63" s="54"/>
      <c r="C63" s="69"/>
      <c r="D63" s="119"/>
      <c r="E63" s="285"/>
      <c r="F63" s="278" t="s">
        <v>245</v>
      </c>
      <c r="G63" s="55"/>
      <c r="H63" s="56"/>
      <c r="I63" s="57"/>
      <c r="J63" s="118"/>
      <c r="K63" s="61"/>
      <c r="L63" s="63"/>
      <c r="M63" s="64"/>
      <c r="N63" s="64"/>
      <c r="O63" s="67"/>
      <c r="P63" s="67"/>
      <c r="Q63" s="68"/>
      <c r="R63" s="276"/>
      <c r="S63" s="213"/>
      <c r="T63" s="214"/>
    </row>
    <row r="64" spans="1:20" s="7" customFormat="1" x14ac:dyDescent="0.25">
      <c r="A64" s="233" t="str">
        <f>IF(J64&lt;&gt;"",1+MAX($A$18:A63),"")</f>
        <v/>
      </c>
      <c r="B64" s="54"/>
      <c r="C64" s="69"/>
      <c r="D64" s="119"/>
      <c r="E64" s="285"/>
      <c r="F64" s="279" t="s">
        <v>244</v>
      </c>
      <c r="G64" s="55"/>
      <c r="H64" s="56"/>
      <c r="I64" s="57"/>
      <c r="J64" s="118"/>
      <c r="K64" s="61"/>
      <c r="L64" s="66"/>
      <c r="M64" s="64"/>
      <c r="N64" s="64"/>
      <c r="O64" s="67"/>
      <c r="P64" s="67"/>
      <c r="Q64" s="68"/>
      <c r="R64" s="276"/>
      <c r="S64" s="213"/>
      <c r="T64" s="214"/>
    </row>
    <row r="65" spans="1:20" s="7" customFormat="1" x14ac:dyDescent="0.25">
      <c r="A65" s="233">
        <f>IF(J65&lt;&gt;"",1+MAX($A$18:A64),"")</f>
        <v>33</v>
      </c>
      <c r="B65" s="54"/>
      <c r="C65" s="69"/>
      <c r="D65" s="119" t="s">
        <v>44</v>
      </c>
      <c r="E65" s="285" t="s">
        <v>45</v>
      </c>
      <c r="F65" s="278" t="s">
        <v>244</v>
      </c>
      <c r="G65" s="55">
        <v>1</v>
      </c>
      <c r="H65" s="56">
        <f>IF(VLOOKUP(J65,'HOURLY RATES'!B$116:C$124,2,0)=0,$J$3,VLOOKUP(J65,'HOURLY RATES'!B$116:C$124,2,0))</f>
        <v>0</v>
      </c>
      <c r="I65" s="57">
        <f>(G65*(1+H65))</f>
        <v>1</v>
      </c>
      <c r="J65" s="118" t="s">
        <v>221</v>
      </c>
      <c r="K65" s="61">
        <f>8.25%*($U$18)/M65</f>
        <v>205.34876127747509</v>
      </c>
      <c r="L65" s="66">
        <f t="shared" ref="L65" si="32">K65*I65</f>
        <v>205.34876127747509</v>
      </c>
      <c r="M65" s="64">
        <f>IF(VLOOKUP(E65,'HOURLY RATES'!C$6:D$105,2,0)=0,$E$3,VLOOKUP(E65,'HOURLY RATES'!C$6:D$105,2,0))</f>
        <v>66.11</v>
      </c>
      <c r="N65" s="64">
        <f t="shared" ref="N65" si="33">M65*L65</f>
        <v>13575.606608053879</v>
      </c>
      <c r="O65" s="67"/>
      <c r="P65" s="67"/>
      <c r="Q65" s="68">
        <f t="shared" ref="Q65" si="34">P65+N65</f>
        <v>13575.606608053879</v>
      </c>
      <c r="R65" s="276"/>
      <c r="S65" s="213">
        <f>((((N65*(1+$D$7))+(P65*(1+$D$5+$D$6)))*(1+$D$8)))/I65</f>
        <v>15708.334406179143</v>
      </c>
      <c r="T65" s="214">
        <f>S65*I65</f>
        <v>15708.334406179143</v>
      </c>
    </row>
    <row r="66" spans="1:20" s="7" customFormat="1" x14ac:dyDescent="0.25">
      <c r="A66" s="294" t="str">
        <f>IF(J66&lt;&gt;"",1+MAX($A$18:A65),"")</f>
        <v/>
      </c>
      <c r="B66" s="79"/>
      <c r="C66" s="295"/>
      <c r="D66" s="120"/>
      <c r="E66" s="287"/>
      <c r="F66" s="296" t="s">
        <v>245</v>
      </c>
      <c r="G66" s="80"/>
      <c r="H66" s="81"/>
      <c r="I66" s="82"/>
      <c r="J66" s="121"/>
      <c r="K66" s="87"/>
      <c r="L66" s="83"/>
      <c r="M66" s="84"/>
      <c r="N66" s="84"/>
      <c r="O66" s="85"/>
      <c r="P66" s="85"/>
      <c r="Q66" s="86"/>
      <c r="R66" s="276"/>
      <c r="S66" s="213"/>
      <c r="T66" s="214"/>
    </row>
    <row r="67" spans="1:20" s="7" customFormat="1" x14ac:dyDescent="0.25">
      <c r="A67" s="297" t="str">
        <f>IF(J67&lt;&gt;"",1+MAX($A$18:A66),"")</f>
        <v/>
      </c>
      <c r="B67" s="297"/>
      <c r="C67" s="297"/>
      <c r="D67" s="297" t="s">
        <v>69</v>
      </c>
      <c r="E67" s="298"/>
      <c r="F67" s="299" t="s">
        <v>70</v>
      </c>
      <c r="G67" s="300"/>
      <c r="H67" s="299"/>
      <c r="I67" s="301"/>
      <c r="J67" s="301"/>
      <c r="K67" s="299"/>
      <c r="L67" s="299"/>
      <c r="M67" s="299"/>
      <c r="N67" s="299"/>
      <c r="O67" s="299"/>
      <c r="P67" s="299"/>
      <c r="Q67" s="299"/>
      <c r="R67" s="302">
        <f>SUM(Q68:Q110)</f>
        <v>156824.59443455003</v>
      </c>
      <c r="S67" s="213"/>
      <c r="T67" s="214"/>
    </row>
    <row r="68" spans="1:20" s="7" customFormat="1" x14ac:dyDescent="0.25">
      <c r="A68" s="233" t="str">
        <f>IF(J68&lt;&gt;"",1+MAX($A$18:A67),"")</f>
        <v/>
      </c>
      <c r="B68" s="54"/>
      <c r="C68" s="69"/>
      <c r="D68" s="119"/>
      <c r="E68" s="285"/>
      <c r="F68" s="280" t="s">
        <v>245</v>
      </c>
      <c r="G68" s="55"/>
      <c r="H68" s="56"/>
      <c r="I68" s="57"/>
      <c r="J68" s="118"/>
      <c r="K68" s="61"/>
      <c r="L68" s="66"/>
      <c r="M68" s="64"/>
      <c r="N68" s="64"/>
      <c r="O68" s="67"/>
      <c r="P68" s="67"/>
      <c r="Q68" s="68"/>
      <c r="R68" s="235"/>
      <c r="S68" s="213"/>
      <c r="T68" s="214"/>
    </row>
    <row r="69" spans="1:20" s="7" customFormat="1" x14ac:dyDescent="0.25">
      <c r="A69" s="233" t="str">
        <f>IF(J69&lt;&gt;"",1+MAX($A$18:A68),"")</f>
        <v/>
      </c>
      <c r="B69" s="54"/>
      <c r="C69" s="69"/>
      <c r="D69" s="119"/>
      <c r="E69" s="285"/>
      <c r="F69" s="279" t="s">
        <v>254</v>
      </c>
      <c r="G69" s="55"/>
      <c r="H69" s="56"/>
      <c r="I69" s="57"/>
      <c r="J69" s="118"/>
      <c r="K69" s="61"/>
      <c r="L69" s="66"/>
      <c r="M69" s="64"/>
      <c r="N69" s="64"/>
      <c r="O69" s="67"/>
      <c r="P69" s="67"/>
      <c r="Q69" s="68"/>
      <c r="R69" s="235"/>
      <c r="S69" s="213"/>
      <c r="T69" s="214"/>
    </row>
    <row r="70" spans="1:20" s="7" customFormat="1" ht="46.8" x14ac:dyDescent="0.25">
      <c r="A70" s="233">
        <f>IF(J70&lt;&gt;"",1+MAX($A$18:A69),"")</f>
        <v>34</v>
      </c>
      <c r="B70" s="54" t="s">
        <v>745</v>
      </c>
      <c r="C70" s="69" t="s">
        <v>744</v>
      </c>
      <c r="D70" s="119" t="s">
        <v>69</v>
      </c>
      <c r="E70" s="285" t="s">
        <v>155</v>
      </c>
      <c r="F70" s="281" t="s">
        <v>775</v>
      </c>
      <c r="G70" s="123"/>
      <c r="H70" s="124"/>
      <c r="I70" s="125">
        <v>110</v>
      </c>
      <c r="J70" s="126" t="s">
        <v>247</v>
      </c>
      <c r="K70" s="61"/>
      <c r="L70" s="66"/>
      <c r="M70" s="64"/>
      <c r="N70" s="64"/>
      <c r="O70" s="67"/>
      <c r="P70" s="67"/>
      <c r="Q70" s="68"/>
      <c r="R70" s="235"/>
      <c r="S70" s="213"/>
      <c r="T70" s="214"/>
    </row>
    <row r="71" spans="1:20" s="7" customFormat="1" x14ac:dyDescent="0.25">
      <c r="A71" s="233">
        <f>IF(J71&lt;&gt;"",1+MAX($A$18:A70),"")</f>
        <v>35</v>
      </c>
      <c r="B71" s="54" t="s">
        <v>745</v>
      </c>
      <c r="C71" s="69" t="s">
        <v>744</v>
      </c>
      <c r="D71" s="119" t="s">
        <v>69</v>
      </c>
      <c r="E71" s="285" t="s">
        <v>103</v>
      </c>
      <c r="F71" s="280" t="s">
        <v>253</v>
      </c>
      <c r="G71" s="55">
        <f>(I70*7.33*4.5)/27</f>
        <v>134.38333333333333</v>
      </c>
      <c r="H71" s="56">
        <f>IF(VLOOKUP(J71,'HOURLY RATES'!B$116:C$124,2,0)=0,$J$3,VLOOKUP(J71,'HOURLY RATES'!B$116:C$124,2,0))</f>
        <v>0.05</v>
      </c>
      <c r="I71" s="57">
        <f t="shared" ref="I71" si="35">(G71*(1+H71))</f>
        <v>141.10249999999999</v>
      </c>
      <c r="J71" s="118" t="s">
        <v>249</v>
      </c>
      <c r="K71" s="61">
        <v>0.38500000000000001</v>
      </c>
      <c r="L71" s="66">
        <f t="shared" ref="L71" si="36">K71*I71</f>
        <v>54.324462499999996</v>
      </c>
      <c r="M71" s="64">
        <f>IF(VLOOKUP(E71,'HOURLY RATES'!C$6:D$105,2,0)=0,$E$3,VLOOKUP(E71,'HOURLY RATES'!C$6:D$105,2,0))</f>
        <v>110.14</v>
      </c>
      <c r="N71" s="64">
        <f t="shared" ref="N71" si="37">M71*L71</f>
        <v>5983.2962997499999</v>
      </c>
      <c r="O71" s="67"/>
      <c r="P71" s="67">
        <f t="shared" ref="P71" si="38">O71*I71</f>
        <v>0</v>
      </c>
      <c r="Q71" s="68">
        <f t="shared" ref="Q71" si="39">P71+N71</f>
        <v>5983.2962997499999</v>
      </c>
      <c r="R71" s="235"/>
      <c r="S71" s="213">
        <f>((((N71*(1+$D$7))+(P71*(1+$D$5+$D$6)))*(1+$D$8)))/I71</f>
        <v>49.065552690000004</v>
      </c>
      <c r="T71" s="214">
        <f>S71*I71</f>
        <v>6923.2721484407248</v>
      </c>
    </row>
    <row r="72" spans="1:20" s="7" customFormat="1" x14ac:dyDescent="0.25">
      <c r="A72" s="233">
        <f>IF(J72&lt;&gt;"",1+MAX($A$18:A71),"")</f>
        <v>36</v>
      </c>
      <c r="B72" s="54" t="s">
        <v>745</v>
      </c>
      <c r="C72" s="69" t="s">
        <v>744</v>
      </c>
      <c r="D72" s="119" t="s">
        <v>69</v>
      </c>
      <c r="E72" s="285" t="s">
        <v>155</v>
      </c>
      <c r="F72" s="280" t="s">
        <v>752</v>
      </c>
      <c r="G72" s="55">
        <f>(4.5*1*I70)/27</f>
        <v>18.333333333333332</v>
      </c>
      <c r="H72" s="56">
        <f>IF(VLOOKUP(J72,'HOURLY RATES'!B$116:C$124,2,0)=0,$J$3,VLOOKUP(J72,'HOURLY RATES'!B$116:C$124,2,0))</f>
        <v>0.05</v>
      </c>
      <c r="I72" s="57">
        <f t="shared" ref="I72:I77" si="40">(G72*(1+H72))</f>
        <v>19.25</v>
      </c>
      <c r="J72" s="118" t="s">
        <v>249</v>
      </c>
      <c r="K72" s="61">
        <v>2.5</v>
      </c>
      <c r="L72" s="66">
        <f t="shared" ref="L72:L77" si="41">K72*I72</f>
        <v>48.125</v>
      </c>
      <c r="M72" s="64">
        <f>IF(VLOOKUP(E72,'HOURLY RATES'!C$6:D$105,2,0)=0,$E$3,VLOOKUP(E72,'HOURLY RATES'!C$6:D$105,2,0))</f>
        <v>65</v>
      </c>
      <c r="N72" s="64">
        <f t="shared" ref="N72:N77" si="42">M72*L72</f>
        <v>3128.125</v>
      </c>
      <c r="O72" s="67">
        <v>232.3</v>
      </c>
      <c r="P72" s="67">
        <f t="shared" ref="P72:P77" si="43">O72*I72</f>
        <v>4471.7750000000005</v>
      </c>
      <c r="Q72" s="68">
        <f t="shared" ref="Q72:Q77" si="44">P72+N72</f>
        <v>7599.9000000000005</v>
      </c>
      <c r="R72" s="235"/>
      <c r="S72" s="213">
        <f>((((N72*(1+$D$7))+(P72*(1+$D$5+$D$6)))*(1+$D$8)))/I72</f>
        <v>468.37652049999997</v>
      </c>
      <c r="T72" s="214">
        <f>S72*I72</f>
        <v>9016.2480196249999</v>
      </c>
    </row>
    <row r="73" spans="1:20" s="7" customFormat="1" x14ac:dyDescent="0.25">
      <c r="A73" s="233">
        <f>IF(J73&lt;&gt;"",1+MAX($A$18:A72),"")</f>
        <v>37</v>
      </c>
      <c r="B73" s="54" t="s">
        <v>745</v>
      </c>
      <c r="C73" s="69" t="s">
        <v>744</v>
      </c>
      <c r="D73" s="119" t="s">
        <v>69</v>
      </c>
      <c r="E73" s="285" t="s">
        <v>155</v>
      </c>
      <c r="F73" s="280" t="s">
        <v>743</v>
      </c>
      <c r="G73" s="55">
        <f>(1*I70)*2</f>
        <v>220</v>
      </c>
      <c r="H73" s="56">
        <f>IF(VLOOKUP(J73,'HOURLY RATES'!B$116:C$124,2,0)=0,$J$3,VLOOKUP(J73,'HOURLY RATES'!B$116:C$124,2,0))</f>
        <v>0.05</v>
      </c>
      <c r="I73" s="57">
        <f t="shared" si="40"/>
        <v>231</v>
      </c>
      <c r="J73" s="118" t="s">
        <v>246</v>
      </c>
      <c r="K73" s="61">
        <v>0.06</v>
      </c>
      <c r="L73" s="66">
        <f t="shared" si="41"/>
        <v>13.86</v>
      </c>
      <c r="M73" s="64">
        <f>IF(VLOOKUP(E73,'HOURLY RATES'!C$6:D$105,2,0)=0,$E$3,VLOOKUP(E73,'HOURLY RATES'!C$6:D$105,2,0))</f>
        <v>65</v>
      </c>
      <c r="N73" s="64">
        <f t="shared" si="42"/>
        <v>900.9</v>
      </c>
      <c r="O73" s="67">
        <v>1.7230000000000001</v>
      </c>
      <c r="P73" s="67">
        <f t="shared" si="43"/>
        <v>398.01300000000003</v>
      </c>
      <c r="Q73" s="68">
        <f t="shared" si="44"/>
        <v>1298.913</v>
      </c>
      <c r="R73" s="235"/>
      <c r="S73" s="213">
        <f>((((N73*(1+$D$7))+(P73*(1+$D$5+$D$6)))*(1+$D$8)))/I73</f>
        <v>6.5920667049999988</v>
      </c>
      <c r="T73" s="214">
        <f>S73*I73</f>
        <v>1522.7674088549998</v>
      </c>
    </row>
    <row r="74" spans="1:20" s="7" customFormat="1" x14ac:dyDescent="0.25">
      <c r="A74" s="233">
        <f>IF(J74&lt;&gt;"",1+MAX($A$18:A73),"")</f>
        <v>38</v>
      </c>
      <c r="B74" s="54" t="s">
        <v>745</v>
      </c>
      <c r="C74" s="69" t="s">
        <v>744</v>
      </c>
      <c r="D74" s="119" t="s">
        <v>46</v>
      </c>
      <c r="E74" s="285" t="s">
        <v>103</v>
      </c>
      <c r="F74" s="278" t="s">
        <v>751</v>
      </c>
      <c r="G74" s="55">
        <f>2*5.33*I70/27</f>
        <v>43.429629629629623</v>
      </c>
      <c r="H74" s="56">
        <f>IF(VLOOKUP(J74,'HOURLY RATES'!B$116:C$124,2,0)=0,$J$3,VLOOKUP(J74,'HOURLY RATES'!B$116:C$124,2,0))</f>
        <v>0.05</v>
      </c>
      <c r="I74" s="57">
        <f t="shared" ref="I74" si="45">(G74*(1+H74))</f>
        <v>45.601111111111109</v>
      </c>
      <c r="J74" s="118" t="s">
        <v>249</v>
      </c>
      <c r="K74" s="61">
        <v>1.4430000000000001</v>
      </c>
      <c r="L74" s="66">
        <f t="shared" ref="L74" si="46">K74*I74</f>
        <v>65.802403333333331</v>
      </c>
      <c r="M74" s="64">
        <f>IF(VLOOKUP(E74,'HOURLY RATES'!C$6:D$105,2,0)=0,$E$3,VLOOKUP(E74,'HOURLY RATES'!C$6:D$105,2,0))</f>
        <v>110.14</v>
      </c>
      <c r="N74" s="64">
        <f t="shared" ref="N74" si="47">M74*L74</f>
        <v>7247.4767031333331</v>
      </c>
      <c r="O74" s="67"/>
      <c r="P74" s="67">
        <f t="shared" ref="P74" si="48">O74*I74</f>
        <v>0</v>
      </c>
      <c r="Q74" s="68">
        <f t="shared" ref="Q74" si="49">P74+N74</f>
        <v>7247.4767031333331</v>
      </c>
      <c r="R74" s="235"/>
      <c r="S74" s="213">
        <f t="shared" ref="S74" si="50">((((N74*(1+$D$7))+(P74*(1+$D$5+$D$6)))*(1+$D$8)))/I74</f>
        <v>183.90024034200002</v>
      </c>
      <c r="T74" s="214">
        <f t="shared" ref="T74" si="51">S74*I74</f>
        <v>8386.0552931955808</v>
      </c>
    </row>
    <row r="75" spans="1:20" s="7" customFormat="1" x14ac:dyDescent="0.25">
      <c r="A75" s="233">
        <f>IF(J75&lt;&gt;"",1+MAX($A$18:A74),"")</f>
        <v>39</v>
      </c>
      <c r="B75" s="54" t="s">
        <v>745</v>
      </c>
      <c r="C75" s="69" t="s">
        <v>744</v>
      </c>
      <c r="D75" s="119" t="s">
        <v>46</v>
      </c>
      <c r="E75" s="285" t="s">
        <v>103</v>
      </c>
      <c r="F75" s="278" t="s">
        <v>750</v>
      </c>
      <c r="G75" s="55">
        <f>G71-G74</f>
        <v>90.953703703703695</v>
      </c>
      <c r="H75" s="56">
        <f>IF(VLOOKUP(J75,'HOURLY RATES'!B$116:C$124,2,0)=0,$J$3,VLOOKUP(J75,'HOURLY RATES'!B$116:C$124,2,0))</f>
        <v>0.05</v>
      </c>
      <c r="I75" s="57">
        <f t="shared" si="40"/>
        <v>95.501388888888883</v>
      </c>
      <c r="J75" s="118" t="s">
        <v>249</v>
      </c>
      <c r="K75" s="61">
        <v>1.5</v>
      </c>
      <c r="L75" s="66">
        <f t="shared" si="41"/>
        <v>143.25208333333333</v>
      </c>
      <c r="M75" s="64">
        <f>IF(VLOOKUP(E75,'HOURLY RATES'!C$6:D$105,2,0)=0,$E$3,VLOOKUP(E75,'HOURLY RATES'!C$6:D$105,2,0))</f>
        <v>110.14</v>
      </c>
      <c r="N75" s="64">
        <f t="shared" si="42"/>
        <v>15777.784458333334</v>
      </c>
      <c r="O75" s="67"/>
      <c r="P75" s="67">
        <f t="shared" si="43"/>
        <v>0</v>
      </c>
      <c r="Q75" s="68">
        <f t="shared" si="44"/>
        <v>15777.784458333334</v>
      </c>
      <c r="R75" s="235"/>
      <c r="S75" s="213">
        <f t="shared" ref="S75" si="52">((((N75*(1+$D$7))+(P75*(1+$D$5+$D$6)))*(1+$D$8)))/I75</f>
        <v>191.16449100000006</v>
      </c>
      <c r="T75" s="214">
        <f t="shared" ref="T75" si="53">S75*I75</f>
        <v>18256.474396737503</v>
      </c>
    </row>
    <row r="76" spans="1:20" s="7" customFormat="1" x14ac:dyDescent="0.25">
      <c r="A76" s="233">
        <f>IF(J76&lt;&gt;"",1+MAX($A$18:A75),"")</f>
        <v>40</v>
      </c>
      <c r="B76" s="54" t="s">
        <v>745</v>
      </c>
      <c r="C76" s="69" t="s">
        <v>744</v>
      </c>
      <c r="D76" s="119" t="s">
        <v>69</v>
      </c>
      <c r="E76" s="285" t="s">
        <v>155</v>
      </c>
      <c r="F76" s="282" t="s">
        <v>776</v>
      </c>
      <c r="G76" s="55">
        <v>1209</v>
      </c>
      <c r="H76" s="56">
        <f>IF(VLOOKUP(J76,'HOURLY RATES'!B$116:C$124,2,0)=0,$J$3,VLOOKUP(J76,'HOURLY RATES'!B$116:C$124,2,0))</f>
        <v>0.05</v>
      </c>
      <c r="I76" s="57">
        <f t="shared" si="40"/>
        <v>1269.45</v>
      </c>
      <c r="J76" s="118" t="s">
        <v>250</v>
      </c>
      <c r="K76" s="61">
        <v>0.01</v>
      </c>
      <c r="L76" s="66">
        <f t="shared" si="41"/>
        <v>12.694500000000001</v>
      </c>
      <c r="M76" s="64">
        <f>IF(VLOOKUP(E76,'HOURLY RATES'!C$6:D$105,2,0)=0,$E$3,VLOOKUP(E76,'HOURLY RATES'!C$6:D$105,2,0))</f>
        <v>65</v>
      </c>
      <c r="N76" s="64">
        <f t="shared" si="42"/>
        <v>825.14250000000004</v>
      </c>
      <c r="O76" s="67">
        <v>0.93400000000000005</v>
      </c>
      <c r="P76" s="67">
        <f t="shared" si="43"/>
        <v>1185.6663000000001</v>
      </c>
      <c r="Q76" s="68">
        <f t="shared" si="44"/>
        <v>2010.8088000000002</v>
      </c>
      <c r="R76" s="235"/>
      <c r="S76" s="213">
        <f>((((N76*(1+$D$7))+(P76*(1+$D$5+$D$6)))*(1+$D$8)))/I76</f>
        <v>1.8792988900000001</v>
      </c>
      <c r="T76" s="214">
        <f>S76*I76</f>
        <v>2385.6759759105003</v>
      </c>
    </row>
    <row r="77" spans="1:20" s="7" customFormat="1" x14ac:dyDescent="0.25">
      <c r="A77" s="233">
        <f>IF(J77&lt;&gt;"",1+MAX($A$18:A76),"")</f>
        <v>41</v>
      </c>
      <c r="B77" s="54" t="s">
        <v>745</v>
      </c>
      <c r="C77" s="69" t="s">
        <v>744</v>
      </c>
      <c r="D77" s="119" t="s">
        <v>69</v>
      </c>
      <c r="E77" s="285" t="s">
        <v>155</v>
      </c>
      <c r="F77" s="282" t="s">
        <v>777</v>
      </c>
      <c r="G77" s="55">
        <v>412</v>
      </c>
      <c r="H77" s="56">
        <f>IF(VLOOKUP(J77,'HOURLY RATES'!B$116:C$124,2,0)=0,$J$3,VLOOKUP(J77,'HOURLY RATES'!B$116:C$124,2,0))</f>
        <v>0.05</v>
      </c>
      <c r="I77" s="57">
        <f t="shared" si="40"/>
        <v>432.6</v>
      </c>
      <c r="J77" s="118" t="s">
        <v>250</v>
      </c>
      <c r="K77" s="61">
        <v>0.01</v>
      </c>
      <c r="L77" s="66">
        <f t="shared" si="41"/>
        <v>4.3260000000000005</v>
      </c>
      <c r="M77" s="64">
        <f>IF(VLOOKUP(E77,'HOURLY RATES'!C$6:D$105,2,0)=0,$E$3,VLOOKUP(E77,'HOURLY RATES'!C$6:D$105,2,0))</f>
        <v>65</v>
      </c>
      <c r="N77" s="64">
        <f t="shared" si="42"/>
        <v>281.19000000000005</v>
      </c>
      <c r="O77" s="67">
        <v>0.93400000000000005</v>
      </c>
      <c r="P77" s="67">
        <f t="shared" si="43"/>
        <v>404.04840000000007</v>
      </c>
      <c r="Q77" s="68">
        <f t="shared" si="44"/>
        <v>685.23840000000018</v>
      </c>
      <c r="R77" s="235"/>
      <c r="S77" s="213">
        <f>((((N77*(1+$D$7))+(P77*(1+$D$5+$D$6)))*(1+$D$8)))/I77</f>
        <v>1.8792988900000003</v>
      </c>
      <c r="T77" s="214">
        <f>S77*I77</f>
        <v>812.98469981400012</v>
      </c>
    </row>
    <row r="78" spans="1:20" s="7" customFormat="1" x14ac:dyDescent="0.25">
      <c r="A78" s="233" t="str">
        <f>IF(J78&lt;&gt;"",1+MAX($A$18:A77),"")</f>
        <v/>
      </c>
      <c r="B78" s="54"/>
      <c r="C78" s="69"/>
      <c r="D78" s="119"/>
      <c r="E78" s="285"/>
      <c r="F78" s="122" t="s">
        <v>245</v>
      </c>
      <c r="G78" s="55"/>
      <c r="H78" s="56"/>
      <c r="I78" s="57"/>
      <c r="J78" s="118"/>
      <c r="K78" s="61"/>
      <c r="L78" s="66"/>
      <c r="M78" s="64"/>
      <c r="N78" s="64"/>
      <c r="O78" s="67"/>
      <c r="P78" s="67"/>
      <c r="Q78" s="68"/>
      <c r="R78" s="235"/>
      <c r="S78" s="213"/>
      <c r="T78" s="214"/>
    </row>
    <row r="79" spans="1:20" s="7" customFormat="1" ht="46.8" x14ac:dyDescent="0.25">
      <c r="A79" s="233">
        <f>IF(J79&lt;&gt;"",1+MAX($A$18:A78),"")</f>
        <v>42</v>
      </c>
      <c r="B79" s="54" t="s">
        <v>745</v>
      </c>
      <c r="C79" s="69" t="s">
        <v>744</v>
      </c>
      <c r="D79" s="119" t="s">
        <v>69</v>
      </c>
      <c r="E79" s="285" t="s">
        <v>155</v>
      </c>
      <c r="F79" s="281" t="s">
        <v>778</v>
      </c>
      <c r="G79" s="123"/>
      <c r="H79" s="124"/>
      <c r="I79" s="125">
        <v>40</v>
      </c>
      <c r="J79" s="126" t="s">
        <v>247</v>
      </c>
      <c r="K79" s="61"/>
      <c r="L79" s="66"/>
      <c r="M79" s="64"/>
      <c r="N79" s="64"/>
      <c r="O79" s="67"/>
      <c r="P79" s="67"/>
      <c r="Q79" s="68"/>
      <c r="R79" s="235"/>
      <c r="S79" s="213"/>
      <c r="T79" s="214"/>
    </row>
    <row r="80" spans="1:20" s="7" customFormat="1" x14ac:dyDescent="0.25">
      <c r="A80" s="233">
        <f>IF(J80&lt;&gt;"",1+MAX($A$18:A79),"")</f>
        <v>43</v>
      </c>
      <c r="B80" s="54" t="s">
        <v>745</v>
      </c>
      <c r="C80" s="69" t="s">
        <v>744</v>
      </c>
      <c r="D80" s="119" t="s">
        <v>69</v>
      </c>
      <c r="E80" s="285" t="s">
        <v>103</v>
      </c>
      <c r="F80" s="280" t="s">
        <v>253</v>
      </c>
      <c r="G80" s="55">
        <f>I79*6*9.5/27</f>
        <v>84.444444444444443</v>
      </c>
      <c r="H80" s="56">
        <f>IF(VLOOKUP(J80,'HOURLY RATES'!B$116:C$124,2,0)=0,$J$3,VLOOKUP(J80,'HOURLY RATES'!B$116:C$124,2,0))</f>
        <v>0.05</v>
      </c>
      <c r="I80" s="57">
        <f t="shared" ref="I80" si="54">(G80*(1+H80))</f>
        <v>88.666666666666671</v>
      </c>
      <c r="J80" s="118" t="s">
        <v>249</v>
      </c>
      <c r="K80" s="61">
        <v>0.38500000000000001</v>
      </c>
      <c r="L80" s="66">
        <f t="shared" ref="L80:L86" si="55">K80*I80</f>
        <v>34.13666666666667</v>
      </c>
      <c r="M80" s="64">
        <f>IF(VLOOKUP(E80,'HOURLY RATES'!C$6:D$105,2,0)=0,$E$3,VLOOKUP(E80,'HOURLY RATES'!C$6:D$105,2,0))</f>
        <v>110.14</v>
      </c>
      <c r="N80" s="64">
        <f t="shared" ref="N80:N86" si="56">M80*L80</f>
        <v>3759.8124666666672</v>
      </c>
      <c r="O80" s="67"/>
      <c r="P80" s="67">
        <f t="shared" ref="P80" si="57">O80*I80</f>
        <v>0</v>
      </c>
      <c r="Q80" s="68">
        <f t="shared" ref="Q80" si="58">P80+N80</f>
        <v>3759.8124666666672</v>
      </c>
      <c r="R80" s="235"/>
      <c r="S80" s="213">
        <f>((((N80*(1+$D$7))+(P80*(1+$D$5+$D$6)))*(1+$D$8)))/I80</f>
        <v>49.065552690000011</v>
      </c>
      <c r="T80" s="214">
        <f>S80*I80</f>
        <v>4350.479005180001</v>
      </c>
    </row>
    <row r="81" spans="1:20" s="7" customFormat="1" x14ac:dyDescent="0.25">
      <c r="A81" s="233">
        <f>IF(J81&lt;&gt;"",1+MAX($A$18:A80),"")</f>
        <v>44</v>
      </c>
      <c r="B81" s="54" t="s">
        <v>745</v>
      </c>
      <c r="C81" s="69" t="s">
        <v>744</v>
      </c>
      <c r="D81" s="119" t="s">
        <v>69</v>
      </c>
      <c r="E81" s="285" t="s">
        <v>155</v>
      </c>
      <c r="F81" s="280" t="s">
        <v>752</v>
      </c>
      <c r="G81" s="55">
        <f>(5*1*I79)/27</f>
        <v>7.4074074074074074</v>
      </c>
      <c r="H81" s="56">
        <f>IF(VLOOKUP(J81,'HOURLY RATES'!B$116:C$124,2,0)=0,$J$3,VLOOKUP(J81,'HOURLY RATES'!B$116:C$124,2,0))</f>
        <v>0.05</v>
      </c>
      <c r="I81" s="57">
        <f t="shared" ref="I81" si="59">(G81*(1+H81))</f>
        <v>7.7777777777777786</v>
      </c>
      <c r="J81" s="118" t="s">
        <v>249</v>
      </c>
      <c r="K81" s="61">
        <v>2.5</v>
      </c>
      <c r="L81" s="66">
        <f t="shared" si="55"/>
        <v>19.444444444444446</v>
      </c>
      <c r="M81" s="64">
        <f>IF(VLOOKUP(E81,'HOURLY RATES'!C$6:D$105,2,0)=0,$E$3,VLOOKUP(E81,'HOURLY RATES'!C$6:D$105,2,0))</f>
        <v>65</v>
      </c>
      <c r="N81" s="64">
        <f t="shared" si="56"/>
        <v>1263.8888888888889</v>
      </c>
      <c r="O81" s="67">
        <v>232.3</v>
      </c>
      <c r="P81" s="67">
        <f t="shared" ref="P81" si="60">O81*I81</f>
        <v>1806.7777777777781</v>
      </c>
      <c r="Q81" s="68">
        <f t="shared" ref="Q81" si="61">P81+N81</f>
        <v>3070.666666666667</v>
      </c>
      <c r="R81" s="235"/>
      <c r="S81" s="213">
        <f>((((N81*(1+$D$7))+(P81*(1+$D$5+$D$6)))*(1+$D$8)))/I81</f>
        <v>468.37652049999997</v>
      </c>
      <c r="T81" s="214">
        <f>S81*I81</f>
        <v>3642.928492777778</v>
      </c>
    </row>
    <row r="82" spans="1:20" s="7" customFormat="1" x14ac:dyDescent="0.25">
      <c r="A82" s="233">
        <f>IF(J82&lt;&gt;"",1+MAX($A$18:A81),"")</f>
        <v>45</v>
      </c>
      <c r="B82" s="54" t="s">
        <v>745</v>
      </c>
      <c r="C82" s="69" t="s">
        <v>744</v>
      </c>
      <c r="D82" s="119" t="s">
        <v>69</v>
      </c>
      <c r="E82" s="285" t="s">
        <v>155</v>
      </c>
      <c r="F82" s="280" t="s">
        <v>743</v>
      </c>
      <c r="G82" s="55">
        <f>(1*I79)*2</f>
        <v>80</v>
      </c>
      <c r="H82" s="56">
        <f>IF(VLOOKUP(J82,'HOURLY RATES'!B$116:C$124,2,0)=0,$J$3,VLOOKUP(J82,'HOURLY RATES'!B$116:C$124,2,0))</f>
        <v>0.05</v>
      </c>
      <c r="I82" s="57">
        <f t="shared" ref="I82:I86" si="62">(G82*(1+H82))</f>
        <v>84</v>
      </c>
      <c r="J82" s="118" t="s">
        <v>246</v>
      </c>
      <c r="K82" s="61">
        <v>0.06</v>
      </c>
      <c r="L82" s="66">
        <f t="shared" si="55"/>
        <v>5.04</v>
      </c>
      <c r="M82" s="64">
        <f>IF(VLOOKUP(E82,'HOURLY RATES'!C$6:D$105,2,0)=0,$E$3,VLOOKUP(E82,'HOURLY RATES'!C$6:D$105,2,0))</f>
        <v>65</v>
      </c>
      <c r="N82" s="64">
        <f t="shared" si="56"/>
        <v>327.60000000000002</v>
      </c>
      <c r="O82" s="67">
        <v>1.7230000000000001</v>
      </c>
      <c r="P82" s="67">
        <f t="shared" ref="P82:P85" si="63">O82*I82</f>
        <v>144.732</v>
      </c>
      <c r="Q82" s="68">
        <f t="shared" ref="Q82:Q85" si="64">P82+N82</f>
        <v>472.33199999999999</v>
      </c>
      <c r="R82" s="235"/>
      <c r="S82" s="213">
        <f>((((N82*(1+$D$7))+(P82*(1+$D$5+$D$6)))*(1+$D$8)))/I82</f>
        <v>6.5920667050000006</v>
      </c>
      <c r="T82" s="214">
        <f>S82*I82</f>
        <v>553.73360322000008</v>
      </c>
    </row>
    <row r="83" spans="1:20" s="7" customFormat="1" x14ac:dyDescent="0.25">
      <c r="A83" s="233">
        <f>IF(J83&lt;&gt;"",1+MAX($A$18:A82),"")</f>
        <v>46</v>
      </c>
      <c r="B83" s="54" t="s">
        <v>745</v>
      </c>
      <c r="C83" s="69" t="s">
        <v>744</v>
      </c>
      <c r="D83" s="119" t="s">
        <v>46</v>
      </c>
      <c r="E83" s="285" t="s">
        <v>103</v>
      </c>
      <c r="F83" s="278" t="s">
        <v>751</v>
      </c>
      <c r="G83" s="55">
        <f>2*7*I79/27</f>
        <v>20.74074074074074</v>
      </c>
      <c r="H83" s="56">
        <f>IF(VLOOKUP(J83,'HOURLY RATES'!B$116:C$124,2,0)=0,$J$3,VLOOKUP(J83,'HOURLY RATES'!B$116:C$124,2,0))</f>
        <v>0.05</v>
      </c>
      <c r="I83" s="57">
        <f t="shared" ref="I83" si="65">(G83*(1+H83))</f>
        <v>21.777777777777779</v>
      </c>
      <c r="J83" s="118" t="s">
        <v>249</v>
      </c>
      <c r="K83" s="61">
        <v>1.4430000000000001</v>
      </c>
      <c r="L83" s="66">
        <f t="shared" si="55"/>
        <v>31.425333333333334</v>
      </c>
      <c r="M83" s="64">
        <f>IF(VLOOKUP(E83,'HOURLY RATES'!C$6:D$105,2,0)=0,$E$3,VLOOKUP(E83,'HOURLY RATES'!C$6:D$105,2,0))</f>
        <v>110.14</v>
      </c>
      <c r="N83" s="64">
        <f t="shared" si="56"/>
        <v>3461.1862133333334</v>
      </c>
      <c r="O83" s="67"/>
      <c r="P83" s="67">
        <f t="shared" ref="P83" si="66">O83*I83</f>
        <v>0</v>
      </c>
      <c r="Q83" s="68">
        <f t="shared" ref="Q83" si="67">P83+N83</f>
        <v>3461.1862133333334</v>
      </c>
      <c r="R83" s="235"/>
      <c r="S83" s="213">
        <f t="shared" ref="S83" si="68">((((N83*(1+$D$7))+(P83*(1+$D$5+$D$6)))*(1+$D$8)))/I83</f>
        <v>183.90024034199999</v>
      </c>
      <c r="T83" s="214">
        <f t="shared" ref="T83" si="69">S83*I83</f>
        <v>4004.938567448</v>
      </c>
    </row>
    <row r="84" spans="1:20" s="7" customFormat="1" x14ac:dyDescent="0.25">
      <c r="A84" s="233">
        <f>IF(J84&lt;&gt;"",1+MAX($A$18:A83),"")</f>
        <v>47</v>
      </c>
      <c r="B84" s="54" t="s">
        <v>745</v>
      </c>
      <c r="C84" s="69" t="s">
        <v>744</v>
      </c>
      <c r="D84" s="119" t="s">
        <v>46</v>
      </c>
      <c r="E84" s="285" t="s">
        <v>103</v>
      </c>
      <c r="F84" s="278" t="s">
        <v>750</v>
      </c>
      <c r="G84" s="55">
        <f>G80-G83</f>
        <v>63.703703703703702</v>
      </c>
      <c r="H84" s="56">
        <f>IF(VLOOKUP(J84,'HOURLY RATES'!B$116:C$124,2,0)=0,$J$3,VLOOKUP(J84,'HOURLY RATES'!B$116:C$124,2,0))</f>
        <v>0.05</v>
      </c>
      <c r="I84" s="57">
        <f t="shared" si="62"/>
        <v>66.888888888888886</v>
      </c>
      <c r="J84" s="118" t="s">
        <v>249</v>
      </c>
      <c r="K84" s="61">
        <v>1.5</v>
      </c>
      <c r="L84" s="66">
        <f t="shared" si="55"/>
        <v>100.33333333333333</v>
      </c>
      <c r="M84" s="64">
        <f>IF(VLOOKUP(E84,'HOURLY RATES'!C$6:D$105,2,0)=0,$E$3,VLOOKUP(E84,'HOURLY RATES'!C$6:D$105,2,0))</f>
        <v>110.14</v>
      </c>
      <c r="N84" s="64">
        <f t="shared" si="56"/>
        <v>11050.713333333333</v>
      </c>
      <c r="O84" s="67"/>
      <c r="P84" s="67">
        <f t="shared" si="63"/>
        <v>0</v>
      </c>
      <c r="Q84" s="68">
        <f t="shared" si="64"/>
        <v>11050.713333333333</v>
      </c>
      <c r="R84" s="235"/>
      <c r="S84" s="213">
        <f t="shared" ref="S84" si="70">((((N84*(1+$D$7))+(P84*(1+$D$5+$D$6)))*(1+$D$8)))/I84</f>
        <v>191.164491</v>
      </c>
      <c r="T84" s="214">
        <f t="shared" ref="T84" si="71">S84*I84</f>
        <v>12786.780397999999</v>
      </c>
    </row>
    <row r="85" spans="1:20" s="7" customFormat="1" x14ac:dyDescent="0.25">
      <c r="A85" s="233">
        <f>IF(J85&lt;&gt;"",1+MAX($A$18:A84),"")</f>
        <v>48</v>
      </c>
      <c r="B85" s="54" t="s">
        <v>745</v>
      </c>
      <c r="C85" s="69" t="s">
        <v>744</v>
      </c>
      <c r="D85" s="119" t="s">
        <v>69</v>
      </c>
      <c r="E85" s="285" t="s">
        <v>155</v>
      </c>
      <c r="F85" s="282" t="s">
        <v>779</v>
      </c>
      <c r="G85" s="55">
        <v>465</v>
      </c>
      <c r="H85" s="56">
        <f>IF(VLOOKUP(J85,'HOURLY RATES'!B$116:C$124,2,0)=0,$J$3,VLOOKUP(J85,'HOURLY RATES'!B$116:C$124,2,0))</f>
        <v>0.05</v>
      </c>
      <c r="I85" s="57">
        <f t="shared" si="62"/>
        <v>488.25</v>
      </c>
      <c r="J85" s="118" t="s">
        <v>250</v>
      </c>
      <c r="K85" s="61">
        <v>0.01</v>
      </c>
      <c r="L85" s="66">
        <f t="shared" si="55"/>
        <v>4.8825000000000003</v>
      </c>
      <c r="M85" s="64">
        <f>IF(VLOOKUP(E85,'HOURLY RATES'!C$6:D$105,2,0)=0,$E$3,VLOOKUP(E85,'HOURLY RATES'!C$6:D$105,2,0))</f>
        <v>65</v>
      </c>
      <c r="N85" s="64">
        <f t="shared" si="56"/>
        <v>317.36250000000001</v>
      </c>
      <c r="O85" s="67">
        <v>0.93400000000000005</v>
      </c>
      <c r="P85" s="67">
        <f t="shared" si="63"/>
        <v>456.02550000000002</v>
      </c>
      <c r="Q85" s="68">
        <f t="shared" si="64"/>
        <v>773.38800000000003</v>
      </c>
      <c r="R85" s="235"/>
      <c r="S85" s="213">
        <f>((((N85*(1+$D$7))+(P85*(1+$D$5+$D$6)))*(1+$D$8)))/I85</f>
        <v>1.8792988900000003</v>
      </c>
      <c r="T85" s="214">
        <f>S85*I85</f>
        <v>917.56768304250011</v>
      </c>
    </row>
    <row r="86" spans="1:20" s="7" customFormat="1" x14ac:dyDescent="0.25">
      <c r="A86" s="233">
        <f>IF(J86&lt;&gt;"",1+MAX($A$18:A85),"")</f>
        <v>49</v>
      </c>
      <c r="B86" s="54" t="s">
        <v>745</v>
      </c>
      <c r="C86" s="69" t="s">
        <v>744</v>
      </c>
      <c r="D86" s="119" t="s">
        <v>69</v>
      </c>
      <c r="E86" s="285" t="s">
        <v>155</v>
      </c>
      <c r="F86" s="282" t="s">
        <v>780</v>
      </c>
      <c r="G86" s="55">
        <v>160</v>
      </c>
      <c r="H86" s="56">
        <f>IF(VLOOKUP(J86,'HOURLY RATES'!B$116:C$124,2,0)=0,$J$3,VLOOKUP(J86,'HOURLY RATES'!B$116:C$124,2,0))</f>
        <v>0.05</v>
      </c>
      <c r="I86" s="57">
        <f t="shared" si="62"/>
        <v>168</v>
      </c>
      <c r="J86" s="118" t="s">
        <v>250</v>
      </c>
      <c r="K86" s="61">
        <v>0.01</v>
      </c>
      <c r="L86" s="66">
        <f t="shared" si="55"/>
        <v>1.68</v>
      </c>
      <c r="M86" s="64">
        <f>IF(VLOOKUP(E86,'HOURLY RATES'!C$6:D$105,2,0)=0,$E$3,VLOOKUP(E86,'HOURLY RATES'!C$6:D$105,2,0))</f>
        <v>65</v>
      </c>
      <c r="N86" s="64">
        <f t="shared" si="56"/>
        <v>109.2</v>
      </c>
      <c r="O86" s="67">
        <v>0.93400000000000005</v>
      </c>
      <c r="P86" s="67">
        <f t="shared" ref="P86" si="72">O86*I86</f>
        <v>156.91200000000001</v>
      </c>
      <c r="Q86" s="68">
        <f t="shared" ref="Q86" si="73">P86+N86</f>
        <v>266.11200000000002</v>
      </c>
      <c r="R86" s="235"/>
      <c r="S86" s="213">
        <f>((((N86*(1+$D$7))+(P86*(1+$D$5+$D$6)))*(1+$D$8)))/I86</f>
        <v>1.8792988899999998</v>
      </c>
      <c r="T86" s="214">
        <f>S86*I86</f>
        <v>315.72221351999997</v>
      </c>
    </row>
    <row r="87" spans="1:20" s="7" customFormat="1" x14ac:dyDescent="0.25">
      <c r="A87" s="233" t="str">
        <f>IF(J87&lt;&gt;"",1+MAX($A$18:A86),"")</f>
        <v/>
      </c>
      <c r="B87" s="54"/>
      <c r="C87" s="69"/>
      <c r="D87" s="119"/>
      <c r="E87" s="285"/>
      <c r="F87" s="122" t="s">
        <v>245</v>
      </c>
      <c r="G87" s="55"/>
      <c r="H87" s="56"/>
      <c r="I87" s="57"/>
      <c r="J87" s="118"/>
      <c r="K87" s="61"/>
      <c r="L87" s="66"/>
      <c r="M87" s="64"/>
      <c r="N87" s="64"/>
      <c r="O87" s="67"/>
      <c r="P87" s="67"/>
      <c r="Q87" s="68"/>
      <c r="R87" s="235"/>
      <c r="S87" s="213"/>
      <c r="T87" s="214"/>
    </row>
    <row r="88" spans="1:20" s="7" customFormat="1" x14ac:dyDescent="0.25">
      <c r="A88" s="233" t="str">
        <f>IF(J88&lt;&gt;"",1+MAX($A$18:A87),"")</f>
        <v/>
      </c>
      <c r="B88" s="54"/>
      <c r="C88" s="69"/>
      <c r="D88" s="119"/>
      <c r="E88" s="285"/>
      <c r="F88" s="279" t="s">
        <v>746</v>
      </c>
      <c r="G88" s="55"/>
      <c r="H88" s="56"/>
      <c r="I88" s="57"/>
      <c r="J88" s="118"/>
      <c r="K88" s="61"/>
      <c r="L88" s="66"/>
      <c r="M88" s="64"/>
      <c r="N88" s="64"/>
      <c r="O88" s="67"/>
      <c r="P88" s="67"/>
      <c r="Q88" s="68"/>
      <c r="R88" s="235"/>
      <c r="S88" s="213"/>
      <c r="T88" s="214"/>
    </row>
    <row r="89" spans="1:20" s="7" customFormat="1" ht="46.8" x14ac:dyDescent="0.25">
      <c r="A89" s="233">
        <f>IF(J89&lt;&gt;"",1+MAX($A$18:A88),"")</f>
        <v>50</v>
      </c>
      <c r="B89" s="54" t="s">
        <v>745</v>
      </c>
      <c r="C89" s="69" t="s">
        <v>744</v>
      </c>
      <c r="D89" s="119" t="s">
        <v>69</v>
      </c>
      <c r="E89" s="285" t="s">
        <v>155</v>
      </c>
      <c r="F89" s="281" t="s">
        <v>781</v>
      </c>
      <c r="G89" s="123"/>
      <c r="H89" s="124"/>
      <c r="I89" s="125">
        <v>115</v>
      </c>
      <c r="J89" s="126" t="s">
        <v>247</v>
      </c>
      <c r="K89" s="61"/>
      <c r="L89" s="66"/>
      <c r="M89" s="64"/>
      <c r="N89" s="64"/>
      <c r="O89" s="67"/>
      <c r="P89" s="67"/>
      <c r="Q89" s="68"/>
      <c r="R89" s="235"/>
      <c r="S89" s="213"/>
      <c r="T89" s="214"/>
    </row>
    <row r="90" spans="1:20" s="7" customFormat="1" x14ac:dyDescent="0.25">
      <c r="A90" s="233">
        <f>IF(J90&lt;&gt;"",1+MAX($A$18:A89),"")</f>
        <v>51</v>
      </c>
      <c r="B90" s="54" t="s">
        <v>745</v>
      </c>
      <c r="C90" s="69" t="s">
        <v>744</v>
      </c>
      <c r="D90" s="119" t="s">
        <v>69</v>
      </c>
      <c r="E90" s="285" t="s">
        <v>155</v>
      </c>
      <c r="F90" s="280" t="s">
        <v>752</v>
      </c>
      <c r="G90" s="55">
        <f>(6.33*1*I89)/27</f>
        <v>26.961111111111112</v>
      </c>
      <c r="H90" s="56">
        <f>IF(VLOOKUP(J90,'HOURLY RATES'!B$116:C$124,2,0)=0,$J$3,VLOOKUP(J90,'HOURLY RATES'!B$116:C$124,2,0))</f>
        <v>0.05</v>
      </c>
      <c r="I90" s="57">
        <f t="shared" ref="I90:I95" si="74">(G90*(1+H90))</f>
        <v>28.30916666666667</v>
      </c>
      <c r="J90" s="118" t="s">
        <v>249</v>
      </c>
      <c r="K90" s="61">
        <v>2.5</v>
      </c>
      <c r="L90" s="66">
        <f t="shared" ref="L90:L91" si="75">K90*I90</f>
        <v>70.772916666666674</v>
      </c>
      <c r="M90" s="64">
        <f>IF(VLOOKUP(E90,'HOURLY RATES'!C$6:D$105,2,0)=0,$E$3,VLOOKUP(E90,'HOURLY RATES'!C$6:D$105,2,0))</f>
        <v>65</v>
      </c>
      <c r="N90" s="64">
        <f t="shared" ref="N90:N91" si="76">M90*L90</f>
        <v>4600.2395833333339</v>
      </c>
      <c r="O90" s="67">
        <v>232.3</v>
      </c>
      <c r="P90" s="67">
        <f t="shared" ref="P90:P95" si="77">O90*I90</f>
        <v>6576.2194166666677</v>
      </c>
      <c r="Q90" s="68">
        <f t="shared" ref="Q90:Q95" si="78">P90+N90</f>
        <v>11176.459000000003</v>
      </c>
      <c r="R90" s="235"/>
      <c r="S90" s="213">
        <f t="shared" ref="S90:S95" si="79">((((N90*(1+$D$7))+(P90*(1+$D$5+$D$6)))*(1+$D$8)))/I90</f>
        <v>468.37652050000003</v>
      </c>
      <c r="T90" s="214">
        <f t="shared" ref="T90:T95" si="80">S90*I90</f>
        <v>13259.348981587918</v>
      </c>
    </row>
    <row r="91" spans="1:20" s="7" customFormat="1" x14ac:dyDescent="0.25">
      <c r="A91" s="233">
        <f>IF(J91&lt;&gt;"",1+MAX($A$18:A90),"")</f>
        <v>52</v>
      </c>
      <c r="B91" s="54" t="s">
        <v>745</v>
      </c>
      <c r="C91" s="69" t="s">
        <v>744</v>
      </c>
      <c r="D91" s="119" t="s">
        <v>69</v>
      </c>
      <c r="E91" s="285" t="s">
        <v>155</v>
      </c>
      <c r="F91" s="280" t="s">
        <v>743</v>
      </c>
      <c r="G91" s="55">
        <f>(6.33*I89)*2</f>
        <v>1455.9</v>
      </c>
      <c r="H91" s="56">
        <f>IF(VLOOKUP(J91,'HOURLY RATES'!B$116:C$124,2,0)=0,$J$3,VLOOKUP(J91,'HOURLY RATES'!B$116:C$124,2,0))</f>
        <v>0.05</v>
      </c>
      <c r="I91" s="57">
        <f t="shared" ref="I91:I93" si="81">(G91*(1+H91))</f>
        <v>1528.6950000000002</v>
      </c>
      <c r="J91" s="118" t="s">
        <v>246</v>
      </c>
      <c r="K91" s="61">
        <v>0.06</v>
      </c>
      <c r="L91" s="66">
        <f t="shared" si="75"/>
        <v>91.721700000000013</v>
      </c>
      <c r="M91" s="64">
        <f>IF(VLOOKUP(E91,'HOURLY RATES'!C$6:D$105,2,0)=0,$E$3,VLOOKUP(E91,'HOURLY RATES'!C$6:D$105,2,0))</f>
        <v>65</v>
      </c>
      <c r="N91" s="64">
        <f t="shared" si="76"/>
        <v>5961.9105000000009</v>
      </c>
      <c r="O91" s="67">
        <v>1.7230000000000001</v>
      </c>
      <c r="P91" s="67">
        <f t="shared" ref="P91:P93" si="82">O91*I91</f>
        <v>2633.9414850000003</v>
      </c>
      <c r="Q91" s="68">
        <f t="shared" ref="Q91:Q93" si="83">P91+N91</f>
        <v>8595.8519850000012</v>
      </c>
      <c r="R91" s="235"/>
      <c r="S91" s="213">
        <f t="shared" si="79"/>
        <v>6.5920667050000006</v>
      </c>
      <c r="T91" s="214">
        <f t="shared" si="80"/>
        <v>10077.259411599976</v>
      </c>
    </row>
    <row r="92" spans="1:20" s="7" customFormat="1" x14ac:dyDescent="0.25">
      <c r="A92" s="233">
        <f>IF(J92&lt;&gt;"",1+MAX($A$18:A91),"")</f>
        <v>53</v>
      </c>
      <c r="B92" s="54" t="s">
        <v>745</v>
      </c>
      <c r="C92" s="69" t="s">
        <v>744</v>
      </c>
      <c r="D92" s="119" t="s">
        <v>69</v>
      </c>
      <c r="E92" s="285" t="s">
        <v>155</v>
      </c>
      <c r="F92" s="280" t="s">
        <v>756</v>
      </c>
      <c r="G92" s="55">
        <f>I89*5.33</f>
        <v>612.95000000000005</v>
      </c>
      <c r="H92" s="56">
        <f>IF(VLOOKUP(J92,'HOURLY RATES'!B$116:C$124,2,0)=0,$J$3,VLOOKUP(J92,'HOURLY RATES'!B$116:C$124,2,0))</f>
        <v>0.05</v>
      </c>
      <c r="I92" s="57">
        <f t="shared" si="81"/>
        <v>643.59750000000008</v>
      </c>
      <c r="J92" s="118" t="s">
        <v>246</v>
      </c>
      <c r="K92" s="61">
        <v>0.02</v>
      </c>
      <c r="L92" s="66">
        <f t="shared" ref="L92:L93" si="84">K92*I92</f>
        <v>12.871950000000002</v>
      </c>
      <c r="M92" s="64">
        <f>IF(VLOOKUP(E92,'HOURLY RATES'!C$6:D$105,2,0)=0,$E$3,VLOOKUP(E92,'HOURLY RATES'!C$6:D$105,2,0))</f>
        <v>65</v>
      </c>
      <c r="N92" s="64">
        <f t="shared" ref="N92:N93" si="85">M92*L92</f>
        <v>836.67675000000008</v>
      </c>
      <c r="O92" s="67">
        <v>1.02</v>
      </c>
      <c r="P92" s="67">
        <f t="shared" si="82"/>
        <v>656.46945000000005</v>
      </c>
      <c r="Q92" s="68">
        <f t="shared" si="83"/>
        <v>1493.1462000000001</v>
      </c>
      <c r="R92" s="235"/>
      <c r="S92" s="213">
        <f t="shared" si="79"/>
        <v>2.7352016999999997</v>
      </c>
      <c r="T92" s="214">
        <f t="shared" si="80"/>
        <v>1760.36897611575</v>
      </c>
    </row>
    <row r="93" spans="1:20" s="7" customFormat="1" x14ac:dyDescent="0.25">
      <c r="A93" s="233">
        <f>IF(J93&lt;&gt;"",1+MAX($A$18:A92),"")</f>
        <v>54</v>
      </c>
      <c r="B93" s="54" t="s">
        <v>745</v>
      </c>
      <c r="C93" s="69" t="s">
        <v>744</v>
      </c>
      <c r="D93" s="119" t="s">
        <v>69</v>
      </c>
      <c r="E93" s="285" t="s">
        <v>155</v>
      </c>
      <c r="F93" s="280" t="s">
        <v>782</v>
      </c>
      <c r="G93" s="55">
        <f>1*5.5*I89/27</f>
        <v>23.425925925925927</v>
      </c>
      <c r="H93" s="56">
        <f>IF(VLOOKUP(J93,'HOURLY RATES'!B$116:C$124,2,0)=0,$J$3,VLOOKUP(J93,'HOURLY RATES'!B$116:C$124,2,0))</f>
        <v>0.05</v>
      </c>
      <c r="I93" s="57">
        <f t="shared" si="81"/>
        <v>24.597222222222225</v>
      </c>
      <c r="J93" s="118" t="s">
        <v>249</v>
      </c>
      <c r="K93" s="61">
        <v>0.68700000000000006</v>
      </c>
      <c r="L93" s="66">
        <f t="shared" si="84"/>
        <v>16.898291666666669</v>
      </c>
      <c r="M93" s="64">
        <f>IF(VLOOKUP(E93,'HOURLY RATES'!C$6:D$105,2,0)=0,$E$3,VLOOKUP(E93,'HOURLY RATES'!C$6:D$105,2,0))</f>
        <v>65</v>
      </c>
      <c r="N93" s="64">
        <f t="shared" si="85"/>
        <v>1098.3889583333334</v>
      </c>
      <c r="O93" s="67">
        <v>38</v>
      </c>
      <c r="P93" s="67">
        <f t="shared" si="82"/>
        <v>934.69444444444457</v>
      </c>
      <c r="Q93" s="68">
        <f t="shared" si="83"/>
        <v>2033.083402777778</v>
      </c>
      <c r="R93" s="235"/>
      <c r="S93" s="213">
        <f t="shared" si="79"/>
        <v>97.530030499999981</v>
      </c>
      <c r="T93" s="214">
        <f t="shared" si="80"/>
        <v>2398.967833548611</v>
      </c>
    </row>
    <row r="94" spans="1:20" s="7" customFormat="1" x14ac:dyDescent="0.25">
      <c r="A94" s="233">
        <f>IF(J94&lt;&gt;"",1+MAX($A$18:A93),"")</f>
        <v>55</v>
      </c>
      <c r="B94" s="54" t="s">
        <v>745</v>
      </c>
      <c r="C94" s="69" t="s">
        <v>744</v>
      </c>
      <c r="D94" s="119" t="s">
        <v>69</v>
      </c>
      <c r="E94" s="285" t="s">
        <v>155</v>
      </c>
      <c r="F94" s="280" t="s">
        <v>749</v>
      </c>
      <c r="G94" s="55">
        <f>4*I89</f>
        <v>460</v>
      </c>
      <c r="H94" s="56">
        <f>IF(VLOOKUP(J94,'HOURLY RATES'!B$116:C$124,2,0)=0,$J$3,VLOOKUP(J94,'HOURLY RATES'!B$116:C$124,2,0))</f>
        <v>0.05</v>
      </c>
      <c r="I94" s="57">
        <f t="shared" si="74"/>
        <v>483</v>
      </c>
      <c r="J94" s="118" t="s">
        <v>246</v>
      </c>
      <c r="K94" s="61">
        <v>0.24399999999999999</v>
      </c>
      <c r="L94" s="66">
        <f t="shared" ref="L94:L95" si="86">K94*I94</f>
        <v>117.852</v>
      </c>
      <c r="M94" s="64">
        <f>IF(VLOOKUP(E94,'HOURLY RATES'!C$6:D$105,2,0)=0,$E$3,VLOOKUP(E94,'HOURLY RATES'!C$6:D$105,2,0))</f>
        <v>65</v>
      </c>
      <c r="N94" s="64">
        <f t="shared" ref="N94:N95" si="87">M94*L94</f>
        <v>7660.38</v>
      </c>
      <c r="O94" s="67">
        <v>21.23</v>
      </c>
      <c r="P94" s="67">
        <f t="shared" si="77"/>
        <v>10254.09</v>
      </c>
      <c r="Q94" s="68">
        <f t="shared" si="78"/>
        <v>17914.47</v>
      </c>
      <c r="R94" s="235"/>
      <c r="S94" s="213">
        <f t="shared" si="79"/>
        <v>43.972713049999996</v>
      </c>
      <c r="T94" s="214">
        <f t="shared" si="80"/>
        <v>21238.820403149999</v>
      </c>
    </row>
    <row r="95" spans="1:20" s="7" customFormat="1" x14ac:dyDescent="0.25">
      <c r="A95" s="233">
        <f>IF(J95&lt;&gt;"",1+MAX($A$18:A94),"")</f>
        <v>56</v>
      </c>
      <c r="B95" s="54" t="s">
        <v>745</v>
      </c>
      <c r="C95" s="69" t="s">
        <v>744</v>
      </c>
      <c r="D95" s="119" t="s">
        <v>69</v>
      </c>
      <c r="E95" s="285" t="s">
        <v>155</v>
      </c>
      <c r="F95" s="282" t="s">
        <v>783</v>
      </c>
      <c r="G95" s="55">
        <v>1990</v>
      </c>
      <c r="H95" s="56">
        <f>IF(VLOOKUP(J95,'HOURLY RATES'!B$116:C$124,2,0)=0,$J$3,VLOOKUP(J95,'HOURLY RATES'!B$116:C$124,2,0))</f>
        <v>0.05</v>
      </c>
      <c r="I95" s="57">
        <f t="shared" si="74"/>
        <v>2089.5</v>
      </c>
      <c r="J95" s="118" t="s">
        <v>250</v>
      </c>
      <c r="K95" s="61">
        <v>0.01</v>
      </c>
      <c r="L95" s="66">
        <f t="shared" si="86"/>
        <v>20.895</v>
      </c>
      <c r="M95" s="64">
        <f>IF(VLOOKUP(E95,'HOURLY RATES'!C$6:D$105,2,0)=0,$E$3,VLOOKUP(E95,'HOURLY RATES'!C$6:D$105,2,0))</f>
        <v>65</v>
      </c>
      <c r="N95" s="64">
        <f t="shared" si="87"/>
        <v>1358.175</v>
      </c>
      <c r="O95" s="67">
        <v>0.93400000000000005</v>
      </c>
      <c r="P95" s="67">
        <f t="shared" si="77"/>
        <v>1951.5930000000001</v>
      </c>
      <c r="Q95" s="68">
        <f t="shared" si="78"/>
        <v>3309.768</v>
      </c>
      <c r="R95" s="235"/>
      <c r="S95" s="213">
        <f t="shared" si="79"/>
        <v>1.8792988899999998</v>
      </c>
      <c r="T95" s="214">
        <f t="shared" si="80"/>
        <v>3926.7950306549997</v>
      </c>
    </row>
    <row r="96" spans="1:20" s="7" customFormat="1" x14ac:dyDescent="0.25">
      <c r="A96" s="233" t="str">
        <f>IF(J96&lt;&gt;"",1+MAX($A$18:A95),"")</f>
        <v/>
      </c>
      <c r="B96" s="54"/>
      <c r="C96" s="69"/>
      <c r="D96" s="119"/>
      <c r="E96" s="285"/>
      <c r="F96" s="122" t="s">
        <v>245</v>
      </c>
      <c r="G96" s="55"/>
      <c r="H96" s="56"/>
      <c r="I96" s="57"/>
      <c r="J96" s="118"/>
      <c r="K96" s="61"/>
      <c r="L96" s="66"/>
      <c r="M96" s="64"/>
      <c r="N96" s="64"/>
      <c r="O96" s="67"/>
      <c r="P96" s="67"/>
      <c r="Q96" s="68"/>
      <c r="R96" s="235"/>
      <c r="S96" s="213"/>
      <c r="T96" s="214"/>
    </row>
    <row r="97" spans="1:20" s="7" customFormat="1" ht="31.2" x14ac:dyDescent="0.25">
      <c r="A97" s="233">
        <f>IF(J97&lt;&gt;"",1+MAX($A$18:A96),"")</f>
        <v>57</v>
      </c>
      <c r="B97" s="54" t="s">
        <v>745</v>
      </c>
      <c r="C97" s="69" t="s">
        <v>744</v>
      </c>
      <c r="D97" s="119" t="s">
        <v>69</v>
      </c>
      <c r="E97" s="285" t="s">
        <v>155</v>
      </c>
      <c r="F97" s="281" t="s">
        <v>784</v>
      </c>
      <c r="G97" s="123"/>
      <c r="H97" s="124"/>
      <c r="I97" s="125">
        <v>40</v>
      </c>
      <c r="J97" s="126" t="s">
        <v>247</v>
      </c>
      <c r="K97" s="61"/>
      <c r="L97" s="66"/>
      <c r="M97" s="64"/>
      <c r="N97" s="64"/>
      <c r="O97" s="67"/>
      <c r="P97" s="67"/>
      <c r="Q97" s="68"/>
      <c r="R97" s="235"/>
      <c r="S97" s="213"/>
      <c r="T97" s="214"/>
    </row>
    <row r="98" spans="1:20" s="7" customFormat="1" x14ac:dyDescent="0.25">
      <c r="A98" s="233">
        <f>IF(J98&lt;&gt;"",1+MAX($A$18:A97),"")</f>
        <v>58</v>
      </c>
      <c r="B98" s="54" t="s">
        <v>745</v>
      </c>
      <c r="C98" s="69" t="s">
        <v>744</v>
      </c>
      <c r="D98" s="119" t="s">
        <v>69</v>
      </c>
      <c r="E98" s="285" t="s">
        <v>155</v>
      </c>
      <c r="F98" s="280" t="s">
        <v>752</v>
      </c>
      <c r="G98" s="55">
        <f>(8.5*1*I97)/27</f>
        <v>12.592592592592593</v>
      </c>
      <c r="H98" s="56">
        <f>IF(VLOOKUP(J98,'HOURLY RATES'!B$116:C$124,2,0)=0,$J$3,VLOOKUP(J98,'HOURLY RATES'!B$116:C$124,2,0))</f>
        <v>0.05</v>
      </c>
      <c r="I98" s="57">
        <f t="shared" ref="I98:I103" si="88">(G98*(1+H98))</f>
        <v>13.222222222222223</v>
      </c>
      <c r="J98" s="118" t="s">
        <v>249</v>
      </c>
      <c r="K98" s="61">
        <v>2.5</v>
      </c>
      <c r="L98" s="66">
        <f t="shared" ref="L98:L99" si="89">K98*I98</f>
        <v>33.055555555555557</v>
      </c>
      <c r="M98" s="64">
        <f>IF(VLOOKUP(E98,'HOURLY RATES'!C$6:D$105,2,0)=0,$E$3,VLOOKUP(E98,'HOURLY RATES'!C$6:D$105,2,0))</f>
        <v>65</v>
      </c>
      <c r="N98" s="64">
        <f t="shared" ref="N98:N99" si="90">M98*L98</f>
        <v>2148.6111111111113</v>
      </c>
      <c r="O98" s="67">
        <v>232.3</v>
      </c>
      <c r="P98" s="67">
        <f t="shared" ref="P98:P103" si="91">O98*I98</f>
        <v>3071.5222222222228</v>
      </c>
      <c r="Q98" s="68">
        <f t="shared" ref="Q98:Q103" si="92">P98+N98</f>
        <v>5220.1333333333341</v>
      </c>
      <c r="R98" s="235"/>
      <c r="S98" s="213">
        <f t="shared" ref="S98:S103" si="93">((((N98*(1+$D$7))+(P98*(1+$D$5+$D$6)))*(1+$D$8)))/I98</f>
        <v>468.37652050000003</v>
      </c>
      <c r="T98" s="214">
        <f t="shared" ref="T98:T103" si="94">S98*I98</f>
        <v>6192.9784377222231</v>
      </c>
    </row>
    <row r="99" spans="1:20" s="7" customFormat="1" x14ac:dyDescent="0.25">
      <c r="A99" s="233">
        <f>IF(J99&lt;&gt;"",1+MAX($A$18:A98),"")</f>
        <v>59</v>
      </c>
      <c r="B99" s="54" t="s">
        <v>745</v>
      </c>
      <c r="C99" s="69" t="s">
        <v>744</v>
      </c>
      <c r="D99" s="119" t="s">
        <v>69</v>
      </c>
      <c r="E99" s="285" t="s">
        <v>155</v>
      </c>
      <c r="F99" s="280" t="s">
        <v>743</v>
      </c>
      <c r="G99" s="55">
        <f>(8.5*I97*2)</f>
        <v>680</v>
      </c>
      <c r="H99" s="56">
        <f>IF(VLOOKUP(J99,'HOURLY RATES'!B$116:C$124,2,0)=0,$J$3,VLOOKUP(J99,'HOURLY RATES'!B$116:C$124,2,0))</f>
        <v>0.05</v>
      </c>
      <c r="I99" s="57">
        <f t="shared" ref="I99:I101" si="95">(G99*(1+H99))</f>
        <v>714</v>
      </c>
      <c r="J99" s="118" t="s">
        <v>246</v>
      </c>
      <c r="K99" s="61">
        <v>0.06</v>
      </c>
      <c r="L99" s="66">
        <f t="shared" si="89"/>
        <v>42.839999999999996</v>
      </c>
      <c r="M99" s="64">
        <f>IF(VLOOKUP(E99,'HOURLY RATES'!C$6:D$105,2,0)=0,$E$3,VLOOKUP(E99,'HOURLY RATES'!C$6:D$105,2,0))</f>
        <v>65</v>
      </c>
      <c r="N99" s="64">
        <f t="shared" si="90"/>
        <v>2784.6</v>
      </c>
      <c r="O99" s="67">
        <v>1.7230000000000001</v>
      </c>
      <c r="P99" s="67">
        <f t="shared" ref="P99:P101" si="96">O99*I99</f>
        <v>1230.222</v>
      </c>
      <c r="Q99" s="68">
        <f t="shared" ref="Q99:Q101" si="97">P99+N99</f>
        <v>4014.8220000000001</v>
      </c>
      <c r="R99" s="235"/>
      <c r="S99" s="213">
        <f t="shared" si="93"/>
        <v>6.5920667049999997</v>
      </c>
      <c r="T99" s="214">
        <f t="shared" si="94"/>
        <v>4706.7356273699997</v>
      </c>
    </row>
    <row r="100" spans="1:20" s="7" customFormat="1" x14ac:dyDescent="0.25">
      <c r="A100" s="233">
        <f>IF(J100&lt;&gt;"",1+MAX($A$18:A99),"")</f>
        <v>60</v>
      </c>
      <c r="B100" s="54" t="s">
        <v>745</v>
      </c>
      <c r="C100" s="69" t="s">
        <v>744</v>
      </c>
      <c r="D100" s="119" t="s">
        <v>69</v>
      </c>
      <c r="E100" s="285" t="s">
        <v>155</v>
      </c>
      <c r="F100" s="280" t="s">
        <v>782</v>
      </c>
      <c r="G100" s="55">
        <f>1*7.16*I97/27</f>
        <v>10.607407407407406</v>
      </c>
      <c r="H100" s="56">
        <f>IF(VLOOKUP(J100,'HOURLY RATES'!B$116:C$124,2,0)=0,$J$3,VLOOKUP(J100,'HOURLY RATES'!B$116:C$124,2,0))</f>
        <v>0.05</v>
      </c>
      <c r="I100" s="57">
        <f t="shared" si="95"/>
        <v>11.137777777777776</v>
      </c>
      <c r="J100" s="118" t="s">
        <v>249</v>
      </c>
      <c r="K100" s="61">
        <v>0.68700000000000006</v>
      </c>
      <c r="L100" s="66">
        <f t="shared" ref="L100:L103" si="98">K100*I100</f>
        <v>7.651653333333333</v>
      </c>
      <c r="M100" s="64">
        <f>IF(VLOOKUP(E100,'HOURLY RATES'!C$6:D$105,2,0)=0,$E$3,VLOOKUP(E100,'HOURLY RATES'!C$6:D$105,2,0))</f>
        <v>65</v>
      </c>
      <c r="N100" s="64">
        <f t="shared" ref="N100:N103" si="99">M100*L100</f>
        <v>497.35746666666665</v>
      </c>
      <c r="O100" s="67">
        <v>38</v>
      </c>
      <c r="P100" s="67">
        <f t="shared" si="96"/>
        <v>423.23555555555549</v>
      </c>
      <c r="Q100" s="68">
        <f t="shared" si="97"/>
        <v>920.59302222222209</v>
      </c>
      <c r="R100" s="235"/>
      <c r="S100" s="213">
        <f t="shared" si="93"/>
        <v>97.530030500000009</v>
      </c>
      <c r="T100" s="214">
        <f t="shared" si="94"/>
        <v>1086.2678063688888</v>
      </c>
    </row>
    <row r="101" spans="1:20" s="7" customFormat="1" x14ac:dyDescent="0.25">
      <c r="A101" s="233">
        <f>IF(J101&lt;&gt;"",1+MAX($A$18:A100),"")</f>
        <v>61</v>
      </c>
      <c r="B101" s="54" t="s">
        <v>745</v>
      </c>
      <c r="C101" s="69" t="s">
        <v>744</v>
      </c>
      <c r="D101" s="119" t="s">
        <v>69</v>
      </c>
      <c r="E101" s="285" t="s">
        <v>155</v>
      </c>
      <c r="F101" s="280" t="s">
        <v>755</v>
      </c>
      <c r="G101" s="55">
        <f>I97*7.16</f>
        <v>286.39999999999998</v>
      </c>
      <c r="H101" s="56">
        <f>IF(VLOOKUP(J101,'HOURLY RATES'!B$116:C$124,2,0)=0,$J$3,VLOOKUP(J101,'HOURLY RATES'!B$116:C$124,2,0))</f>
        <v>0.05</v>
      </c>
      <c r="I101" s="57">
        <f t="shared" si="95"/>
        <v>300.71999999999997</v>
      </c>
      <c r="J101" s="118" t="s">
        <v>246</v>
      </c>
      <c r="K101" s="61">
        <v>0.02</v>
      </c>
      <c r="L101" s="66">
        <f t="shared" si="98"/>
        <v>6.0143999999999993</v>
      </c>
      <c r="M101" s="64">
        <f>IF(VLOOKUP(E101,'HOURLY RATES'!C$6:D$105,2,0)=0,$E$3,VLOOKUP(E101,'HOURLY RATES'!C$6:D$105,2,0))</f>
        <v>65</v>
      </c>
      <c r="N101" s="64">
        <f t="shared" si="99"/>
        <v>390.93599999999998</v>
      </c>
      <c r="O101" s="67">
        <v>1.02</v>
      </c>
      <c r="P101" s="67">
        <f t="shared" si="96"/>
        <v>306.73439999999999</v>
      </c>
      <c r="Q101" s="68">
        <f t="shared" si="97"/>
        <v>697.67039999999997</v>
      </c>
      <c r="R101" s="235"/>
      <c r="S101" s="213">
        <f t="shared" si="93"/>
        <v>2.7352016999999997</v>
      </c>
      <c r="T101" s="214">
        <f t="shared" si="94"/>
        <v>822.52985522399979</v>
      </c>
    </row>
    <row r="102" spans="1:20" s="7" customFormat="1" x14ac:dyDescent="0.25">
      <c r="A102" s="233">
        <f>IF(J102&lt;&gt;"",1+MAX($A$18:A101),"")</f>
        <v>62</v>
      </c>
      <c r="B102" s="54" t="s">
        <v>745</v>
      </c>
      <c r="C102" s="69" t="s">
        <v>744</v>
      </c>
      <c r="D102" s="119" t="s">
        <v>69</v>
      </c>
      <c r="E102" s="285" t="s">
        <v>155</v>
      </c>
      <c r="F102" s="280" t="s">
        <v>749</v>
      </c>
      <c r="G102" s="55">
        <f>6*I97</f>
        <v>240</v>
      </c>
      <c r="H102" s="56">
        <f>IF(VLOOKUP(J102,'HOURLY RATES'!B$116:C$124,2,0)=0,$J$3,VLOOKUP(J102,'HOURLY RATES'!B$116:C$124,2,0))</f>
        <v>0.05</v>
      </c>
      <c r="I102" s="57">
        <f t="shared" si="88"/>
        <v>252</v>
      </c>
      <c r="J102" s="118" t="s">
        <v>246</v>
      </c>
      <c r="K102" s="61">
        <v>0.24399999999999999</v>
      </c>
      <c r="L102" s="66">
        <f t="shared" si="98"/>
        <v>61.488</v>
      </c>
      <c r="M102" s="64">
        <f>IF(VLOOKUP(E102,'HOURLY RATES'!C$6:D$105,2,0)=0,$E$3,VLOOKUP(E102,'HOURLY RATES'!C$6:D$105,2,0))</f>
        <v>65</v>
      </c>
      <c r="N102" s="64">
        <f t="shared" si="99"/>
        <v>3996.72</v>
      </c>
      <c r="O102" s="67">
        <v>21.23</v>
      </c>
      <c r="P102" s="67">
        <f t="shared" si="91"/>
        <v>5349.96</v>
      </c>
      <c r="Q102" s="68">
        <f t="shared" si="92"/>
        <v>9346.68</v>
      </c>
      <c r="R102" s="235"/>
      <c r="S102" s="213">
        <f t="shared" si="93"/>
        <v>43.972713049999996</v>
      </c>
      <c r="T102" s="214">
        <f t="shared" si="94"/>
        <v>11081.123688599999</v>
      </c>
    </row>
    <row r="103" spans="1:20" s="7" customFormat="1" x14ac:dyDescent="0.25">
      <c r="A103" s="233">
        <f>IF(J103&lt;&gt;"",1+MAX($A$18:A102),"")</f>
        <v>63</v>
      </c>
      <c r="B103" s="54" t="s">
        <v>745</v>
      </c>
      <c r="C103" s="69" t="s">
        <v>744</v>
      </c>
      <c r="D103" s="119" t="s">
        <v>69</v>
      </c>
      <c r="E103" s="285" t="s">
        <v>155</v>
      </c>
      <c r="F103" s="282" t="s">
        <v>785</v>
      </c>
      <c r="G103" s="55">
        <v>875</v>
      </c>
      <c r="H103" s="56">
        <f>IF(VLOOKUP(J103,'HOURLY RATES'!B$116:C$124,2,0)=0,$J$3,VLOOKUP(J103,'HOURLY RATES'!B$116:C$124,2,0))</f>
        <v>0.05</v>
      </c>
      <c r="I103" s="57">
        <f t="shared" si="88"/>
        <v>918.75</v>
      </c>
      <c r="J103" s="118" t="s">
        <v>250</v>
      </c>
      <c r="K103" s="61">
        <v>0.01</v>
      </c>
      <c r="L103" s="66">
        <f t="shared" si="98"/>
        <v>9.1875</v>
      </c>
      <c r="M103" s="64">
        <f>IF(VLOOKUP(E103,'HOURLY RATES'!C$6:D$105,2,0)=0,$E$3,VLOOKUP(E103,'HOURLY RATES'!C$6:D$105,2,0))</f>
        <v>65</v>
      </c>
      <c r="N103" s="64">
        <f t="shared" si="99"/>
        <v>597.1875</v>
      </c>
      <c r="O103" s="67">
        <v>0.93400000000000005</v>
      </c>
      <c r="P103" s="67">
        <f t="shared" si="91"/>
        <v>858.11250000000007</v>
      </c>
      <c r="Q103" s="68">
        <f t="shared" si="92"/>
        <v>1455.3000000000002</v>
      </c>
      <c r="R103" s="235"/>
      <c r="S103" s="213">
        <f t="shared" si="93"/>
        <v>1.8792988900000001</v>
      </c>
      <c r="T103" s="214">
        <f t="shared" si="94"/>
        <v>1726.6058551875001</v>
      </c>
    </row>
    <row r="104" spans="1:20" s="7" customFormat="1" x14ac:dyDescent="0.25">
      <c r="A104" s="233" t="str">
        <f>IF(J104&lt;&gt;"",1+MAX($A$18:A103),"")</f>
        <v/>
      </c>
      <c r="B104" s="54"/>
      <c r="C104" s="69"/>
      <c r="D104" s="119"/>
      <c r="E104" s="285"/>
      <c r="F104" s="122" t="s">
        <v>245</v>
      </c>
      <c r="G104" s="55"/>
      <c r="H104" s="56"/>
      <c r="I104" s="57"/>
      <c r="J104" s="118"/>
      <c r="K104" s="61"/>
      <c r="L104" s="66"/>
      <c r="M104" s="64"/>
      <c r="N104" s="64"/>
      <c r="O104" s="67"/>
      <c r="P104" s="67"/>
      <c r="Q104" s="68"/>
      <c r="R104" s="235"/>
      <c r="S104" s="213"/>
      <c r="T104" s="214"/>
    </row>
    <row r="105" spans="1:20" s="7" customFormat="1" x14ac:dyDescent="0.25">
      <c r="A105" s="233" t="str">
        <f>IF(J105&lt;&gt;"",1+MAX($A$18:A104),"")</f>
        <v/>
      </c>
      <c r="B105" s="54"/>
      <c r="C105" s="69"/>
      <c r="D105" s="119"/>
      <c r="E105" s="285"/>
      <c r="F105" s="279" t="s">
        <v>747</v>
      </c>
      <c r="G105" s="55"/>
      <c r="H105" s="56"/>
      <c r="I105" s="57"/>
      <c r="J105" s="118"/>
      <c r="K105" s="61"/>
      <c r="L105" s="66"/>
      <c r="M105" s="64"/>
      <c r="N105" s="64"/>
      <c r="O105" s="67"/>
      <c r="P105" s="67"/>
      <c r="Q105" s="68"/>
      <c r="R105" s="235"/>
      <c r="S105" s="213"/>
      <c r="T105" s="214"/>
    </row>
    <row r="106" spans="1:20" s="7" customFormat="1" x14ac:dyDescent="0.25">
      <c r="A106" s="233">
        <f>IF(J106&lt;&gt;"",1+MAX($A$18:A105),"")</f>
        <v>64</v>
      </c>
      <c r="B106" s="54" t="s">
        <v>745</v>
      </c>
      <c r="C106" s="69" t="s">
        <v>744</v>
      </c>
      <c r="D106" s="119" t="s">
        <v>69</v>
      </c>
      <c r="E106" s="285" t="s">
        <v>155</v>
      </c>
      <c r="F106" s="280" t="s">
        <v>748</v>
      </c>
      <c r="G106" s="55">
        <v>155</v>
      </c>
      <c r="H106" s="56">
        <f>IF(VLOOKUP(J106,'HOURLY RATES'!B$116:C$124,2,0)=0,$J$3,VLOOKUP(J106,'HOURLY RATES'!B$116:C$124,2,0))</f>
        <v>0.05</v>
      </c>
      <c r="I106" s="57">
        <f t="shared" ref="I106" si="100">(G106*(1+H106))</f>
        <v>162.75</v>
      </c>
      <c r="J106" s="118" t="s">
        <v>247</v>
      </c>
      <c r="K106" s="61">
        <v>0.33400000000000002</v>
      </c>
      <c r="L106" s="66">
        <f t="shared" ref="L106" si="101">K106*I106</f>
        <v>54.358500000000006</v>
      </c>
      <c r="M106" s="64">
        <f>IF(VLOOKUP(E106,'HOURLY RATES'!C$6:D$105,2,0)=0,$E$3,VLOOKUP(E106,'HOURLY RATES'!C$6:D$105,2,0))</f>
        <v>65</v>
      </c>
      <c r="N106" s="64">
        <f t="shared" ref="N106" si="102">M106*L106</f>
        <v>3533.3025000000002</v>
      </c>
      <c r="O106" s="67">
        <v>113.2</v>
      </c>
      <c r="P106" s="67">
        <f t="shared" ref="P106" si="103">O106*I106</f>
        <v>18423.3</v>
      </c>
      <c r="Q106" s="68">
        <f t="shared" ref="Q106" si="104">P106+N106</f>
        <v>21956.602500000001</v>
      </c>
      <c r="R106" s="235"/>
      <c r="S106" s="213">
        <f>((((N106*(1+$D$7))+(P106*(1+$D$5+$D$6)))*(1+$D$8)))/I106</f>
        <v>161.73436299999997</v>
      </c>
      <c r="T106" s="214">
        <f>S106*I106</f>
        <v>26322.267578249997</v>
      </c>
    </row>
    <row r="107" spans="1:20" s="7" customFormat="1" x14ac:dyDescent="0.25">
      <c r="A107" s="233" t="str">
        <f>IF(J107&lt;&gt;"",1+MAX($A$18:A106),"")</f>
        <v/>
      </c>
      <c r="B107" s="54"/>
      <c r="C107" s="69"/>
      <c r="D107" s="119"/>
      <c r="E107" s="285"/>
      <c r="F107" s="122" t="s">
        <v>245</v>
      </c>
      <c r="G107" s="55"/>
      <c r="H107" s="56"/>
      <c r="I107" s="57"/>
      <c r="J107" s="118"/>
      <c r="K107" s="61"/>
      <c r="L107" s="66"/>
      <c r="M107" s="64"/>
      <c r="N107" s="64"/>
      <c r="O107" s="67"/>
      <c r="P107" s="67"/>
      <c r="Q107" s="68"/>
      <c r="R107" s="235"/>
      <c r="S107" s="213"/>
      <c r="T107" s="214"/>
    </row>
    <row r="108" spans="1:20" s="7" customFormat="1" x14ac:dyDescent="0.25">
      <c r="A108" s="233" t="str">
        <f>IF(J108&lt;&gt;"",1+MAX($A$18:A107),"")</f>
        <v/>
      </c>
      <c r="B108" s="54"/>
      <c r="C108" s="69"/>
      <c r="D108" s="119"/>
      <c r="E108" s="285"/>
      <c r="F108" s="279" t="s">
        <v>252</v>
      </c>
      <c r="G108" s="55"/>
      <c r="H108" s="56"/>
      <c r="I108" s="57"/>
      <c r="J108" s="118"/>
      <c r="K108" s="61"/>
      <c r="L108" s="66"/>
      <c r="M108" s="64"/>
      <c r="N108" s="64"/>
      <c r="O108" s="67"/>
      <c r="P108" s="67"/>
      <c r="Q108" s="68"/>
      <c r="R108" s="235"/>
      <c r="S108" s="213"/>
      <c r="T108" s="214"/>
    </row>
    <row r="109" spans="1:20" s="7" customFormat="1" x14ac:dyDescent="0.25">
      <c r="A109" s="233">
        <f>IF(J109&lt;&gt;"",1+MAX($A$18:A108),"")</f>
        <v>65</v>
      </c>
      <c r="B109" s="54"/>
      <c r="C109" s="69"/>
      <c r="D109" s="119" t="s">
        <v>69</v>
      </c>
      <c r="E109" s="285" t="s">
        <v>155</v>
      </c>
      <c r="F109" s="280" t="s">
        <v>255</v>
      </c>
      <c r="G109" s="55">
        <f>SUM(G76:G77,G85:G86,G95,G103)/2000</f>
        <v>2.5554999999999999</v>
      </c>
      <c r="H109" s="56">
        <f>IF(VLOOKUP(J109,'HOURLY RATES'!B$116:C$124,2,0)=0,$J$3,VLOOKUP(J109,'HOURLY RATES'!B$116:C$124,2,0))</f>
        <v>0.05</v>
      </c>
      <c r="I109" s="57">
        <f t="shared" ref="I109" si="105">(G109*(1+H109))</f>
        <v>2.6832750000000001</v>
      </c>
      <c r="J109" s="118" t="s">
        <v>251</v>
      </c>
      <c r="K109" s="61">
        <v>15</v>
      </c>
      <c r="L109" s="66">
        <f t="shared" ref="L109" si="106">K109*I109</f>
        <v>40.249124999999999</v>
      </c>
      <c r="M109" s="64">
        <f>IF(VLOOKUP(E109,'HOURLY RATES'!C$6:D$105,2,0)=0,$E$3,VLOOKUP(E109,'HOURLY RATES'!C$6:D$105,2,0))</f>
        <v>65</v>
      </c>
      <c r="N109" s="64">
        <f t="shared" ref="N109" si="107">M109*L109</f>
        <v>2616.1931249999998</v>
      </c>
      <c r="O109" s="67">
        <f>M109*K109</f>
        <v>975</v>
      </c>
      <c r="P109" s="67">
        <f t="shared" ref="P109" si="108">O109*I109</f>
        <v>2616.1931250000002</v>
      </c>
      <c r="Q109" s="68">
        <f t="shared" ref="Q109" si="109">P109+N109</f>
        <v>5232.3862499999996</v>
      </c>
      <c r="R109" s="235"/>
      <c r="S109" s="213">
        <f>((((N109*(1+$D$7))+(P109*(1+$D$5+$D$6)))*(1+$D$8)))/I109</f>
        <v>2304.8366249999999</v>
      </c>
      <c r="T109" s="214">
        <f>S109*I109</f>
        <v>6184.510494946875</v>
      </c>
    </row>
    <row r="110" spans="1:20" s="7" customFormat="1" x14ac:dyDescent="0.25">
      <c r="A110" s="294" t="str">
        <f>IF(J110&lt;&gt;"",1+MAX($A$18:A109),"")</f>
        <v/>
      </c>
      <c r="B110" s="79"/>
      <c r="C110" s="295"/>
      <c r="D110" s="120"/>
      <c r="E110" s="287"/>
      <c r="F110" s="296" t="s">
        <v>245</v>
      </c>
      <c r="G110" s="80"/>
      <c r="H110" s="81"/>
      <c r="I110" s="82"/>
      <c r="J110" s="121"/>
      <c r="K110" s="87"/>
      <c r="L110" s="83"/>
      <c r="M110" s="84"/>
      <c r="N110" s="84"/>
      <c r="O110" s="85"/>
      <c r="P110" s="85"/>
      <c r="Q110" s="86"/>
      <c r="R110" s="276"/>
      <c r="S110" s="213"/>
      <c r="T110" s="214"/>
    </row>
    <row r="111" spans="1:20" s="7" customFormat="1" x14ac:dyDescent="0.25">
      <c r="A111" s="297" t="str">
        <f>IF(J111&lt;&gt;"",1+MAX($A$18:A110),"")</f>
        <v/>
      </c>
      <c r="B111" s="297"/>
      <c r="C111" s="297"/>
      <c r="D111" s="297" t="s">
        <v>71</v>
      </c>
      <c r="E111" s="298"/>
      <c r="F111" s="299" t="s">
        <v>72</v>
      </c>
      <c r="G111" s="300"/>
      <c r="H111" s="299"/>
      <c r="I111" s="301"/>
      <c r="J111" s="301"/>
      <c r="K111" s="299"/>
      <c r="L111" s="299"/>
      <c r="M111" s="299"/>
      <c r="N111" s="299"/>
      <c r="O111" s="299"/>
      <c r="P111" s="299"/>
      <c r="Q111" s="299"/>
      <c r="R111" s="302">
        <f>SUM(Q112:Q115)</f>
        <v>7728.2129357999993</v>
      </c>
      <c r="S111" s="213"/>
      <c r="T111" s="214"/>
    </row>
    <row r="112" spans="1:20" s="7" customFormat="1" x14ac:dyDescent="0.25">
      <c r="A112" s="233" t="str">
        <f>IF(J112&lt;&gt;"",1+MAX($A$18:A111),"")</f>
        <v/>
      </c>
      <c r="B112" s="54"/>
      <c r="C112" s="69"/>
      <c r="D112" s="119"/>
      <c r="E112" s="285"/>
      <c r="F112" s="280" t="s">
        <v>245</v>
      </c>
      <c r="G112" s="55"/>
      <c r="H112" s="56"/>
      <c r="I112" s="57"/>
      <c r="J112" s="118"/>
      <c r="K112" s="61"/>
      <c r="L112" s="66"/>
      <c r="M112" s="64"/>
      <c r="N112" s="64"/>
      <c r="O112" s="67"/>
      <c r="P112" s="67"/>
      <c r="Q112" s="68"/>
      <c r="R112" s="235"/>
      <c r="S112" s="213"/>
      <c r="T112" s="214"/>
    </row>
    <row r="113" spans="1:22" s="7" customFormat="1" x14ac:dyDescent="0.25">
      <c r="A113" s="233" t="str">
        <f>IF(J113&lt;&gt;"",1+MAX($A$18:A112),"")</f>
        <v/>
      </c>
      <c r="B113" s="54"/>
      <c r="C113" s="69"/>
      <c r="D113" s="119"/>
      <c r="E113" s="285"/>
      <c r="F113" s="279" t="s">
        <v>256</v>
      </c>
      <c r="G113" s="55"/>
      <c r="H113" s="56"/>
      <c r="I113" s="57"/>
      <c r="J113" s="118"/>
      <c r="K113" s="61"/>
      <c r="L113" s="66"/>
      <c r="M113" s="64"/>
      <c r="N113" s="64"/>
      <c r="O113" s="67"/>
      <c r="P113" s="67"/>
      <c r="Q113" s="68"/>
      <c r="R113" s="235"/>
      <c r="S113" s="213"/>
      <c r="T113" s="214"/>
    </row>
    <row r="114" spans="1:22" s="7" customFormat="1" x14ac:dyDescent="0.25">
      <c r="A114" s="233">
        <f>IF(J114&lt;&gt;"",1+MAX($A$18:A113),"")</f>
        <v>66</v>
      </c>
      <c r="B114" s="54" t="s">
        <v>745</v>
      </c>
      <c r="C114" s="69" t="s">
        <v>744</v>
      </c>
      <c r="D114" s="119" t="s">
        <v>71</v>
      </c>
      <c r="E114" s="285" t="s">
        <v>72</v>
      </c>
      <c r="F114" s="280" t="s">
        <v>786</v>
      </c>
      <c r="G114" s="55">
        <v>158</v>
      </c>
      <c r="H114" s="56">
        <f>IF(VLOOKUP(J114,'HOURLY RATES'!B$116:C$124,2,0)=0,$J$3,VLOOKUP(J114,'HOURLY RATES'!B$116:C$124,2,0))</f>
        <v>0.05</v>
      </c>
      <c r="I114" s="57">
        <f t="shared" ref="I114" si="110">(G114*(1+H114))</f>
        <v>165.9</v>
      </c>
      <c r="J114" s="118" t="s">
        <v>247</v>
      </c>
      <c r="K114" s="61">
        <v>0.13339999999999999</v>
      </c>
      <c r="L114" s="66">
        <f t="shared" ref="L114" si="111">K114*I114</f>
        <v>22.131059999999998</v>
      </c>
      <c r="M114" s="64">
        <f>IF(VLOOKUP(E114,'HOURLY RATES'!C$6:D$105,2,0)=0,$E$3,VLOOKUP(E114,'HOURLY RATES'!C$6:D$105,2,0))</f>
        <v>73.430000000000007</v>
      </c>
      <c r="N114" s="64">
        <f t="shared" ref="N114" si="112">M114*L114</f>
        <v>1625.0837358000001</v>
      </c>
      <c r="O114" s="67">
        <v>36.787999999999997</v>
      </c>
      <c r="P114" s="67">
        <f t="shared" ref="P114" si="113">O114*I114</f>
        <v>6103.1291999999994</v>
      </c>
      <c r="Q114" s="68">
        <f t="shared" ref="Q114" si="114">P114+N114</f>
        <v>7728.2129357999993</v>
      </c>
      <c r="R114" s="235"/>
      <c r="S114" s="213">
        <f t="shared" ref="S114" si="115">((((N114*(1+$D$7))+(P114*(1+$D$5+$D$6)))*(1+$D$8)))/I114</f>
        <v>55.73149077019999</v>
      </c>
      <c r="T114" s="214">
        <f t="shared" ref="T114" si="116">S114*I114</f>
        <v>9245.8543187761788</v>
      </c>
    </row>
    <row r="115" spans="1:22" s="7" customFormat="1" x14ac:dyDescent="0.25">
      <c r="A115" s="286" t="str">
        <f>IF(J115&lt;&gt;"",1+MAX($A$18:A114),"")</f>
        <v/>
      </c>
      <c r="B115" s="79"/>
      <c r="C115" s="79"/>
      <c r="D115" s="120"/>
      <c r="E115" s="287"/>
      <c r="F115" s="283" t="s">
        <v>245</v>
      </c>
      <c r="G115" s="80"/>
      <c r="H115" s="81"/>
      <c r="I115" s="82"/>
      <c r="J115" s="121"/>
      <c r="K115" s="87"/>
      <c r="L115" s="83"/>
      <c r="M115" s="84"/>
      <c r="N115" s="84"/>
      <c r="O115" s="85"/>
      <c r="P115" s="85"/>
      <c r="Q115" s="86"/>
      <c r="R115" s="235"/>
      <c r="S115" s="213"/>
      <c r="T115" s="214"/>
    </row>
    <row r="116" spans="1:22" s="7" customFormat="1" x14ac:dyDescent="0.25">
      <c r="A116" s="319" t="s">
        <v>73</v>
      </c>
      <c r="B116" s="319"/>
      <c r="C116" s="322"/>
      <c r="D116" s="323"/>
      <c r="E116" s="323"/>
      <c r="F116" s="323"/>
      <c r="G116" s="323"/>
      <c r="H116" s="323"/>
      <c r="I116" s="324"/>
      <c r="J116" s="289"/>
      <c r="K116" s="290" t="s">
        <v>257</v>
      </c>
      <c r="L116" s="291">
        <f>SUM(L18:L115)</f>
        <v>1523.0403854070894</v>
      </c>
      <c r="M116" s="288" t="s">
        <v>258</v>
      </c>
      <c r="N116" s="292">
        <f>SUM(N18:N115)</f>
        <v>118978.68686623769</v>
      </c>
      <c r="O116" s="288" t="s">
        <v>259</v>
      </c>
      <c r="P116" s="292">
        <f>SUM(P18:P115)</f>
        <v>70413.366776666677</v>
      </c>
      <c r="Q116" s="293">
        <f>SUM(Q18:Q115)</f>
        <v>189392.05364290436</v>
      </c>
      <c r="R116" s="293">
        <f>SUM(R18:R115)</f>
        <v>189392.05364290436</v>
      </c>
      <c r="S116" s="215"/>
      <c r="T116" s="216">
        <f>SUM(T18:T115)</f>
        <v>222647.55406684213</v>
      </c>
      <c r="U116" s="1"/>
      <c r="V116" s="1"/>
    </row>
    <row r="117" spans="1:22" s="7" customFormat="1" ht="16.2" thickBot="1" x14ac:dyDescent="0.3">
      <c r="A117" s="320" t="s">
        <v>74</v>
      </c>
      <c r="B117" s="321"/>
      <c r="C117" s="41"/>
      <c r="D117" s="41"/>
      <c r="E117" s="42"/>
      <c r="F117" s="43"/>
      <c r="G117" s="44"/>
      <c r="H117" s="44"/>
      <c r="I117" s="44"/>
      <c r="J117" s="41"/>
      <c r="K117" s="41"/>
      <c r="L117" s="41"/>
      <c r="M117" s="88">
        <f>D5</f>
        <v>8.8999999999999996E-2</v>
      </c>
      <c r="N117" s="89"/>
      <c r="O117" s="89"/>
      <c r="P117" s="89">
        <f>P116*M117</f>
        <v>6266.7896431233339</v>
      </c>
      <c r="Q117" s="89">
        <f>P117+N117</f>
        <v>6266.7896431233339</v>
      </c>
      <c r="R117" s="236">
        <f>Q117</f>
        <v>6266.7896431233339</v>
      </c>
      <c r="S117" s="215"/>
      <c r="T117" s="215"/>
      <c r="U117" s="1"/>
      <c r="V117" s="1"/>
    </row>
    <row r="118" spans="1:22" s="7" customFormat="1" ht="16.8" thickTop="1" thickBot="1" x14ac:dyDescent="0.3">
      <c r="A118" s="237" t="s">
        <v>260</v>
      </c>
      <c r="B118" s="51"/>
      <c r="C118" s="45"/>
      <c r="D118" s="45"/>
      <c r="E118" s="46"/>
      <c r="F118" s="47"/>
      <c r="G118" s="48"/>
      <c r="H118" s="48"/>
      <c r="I118" s="48"/>
      <c r="J118" s="45"/>
      <c r="K118" s="45"/>
      <c r="L118" s="45"/>
      <c r="M118" s="52">
        <f>D6</f>
        <v>0.1</v>
      </c>
      <c r="N118" s="50"/>
      <c r="O118" s="50"/>
      <c r="P118" s="50">
        <f>P116*M118</f>
        <v>7041.336677666668</v>
      </c>
      <c r="Q118" s="50">
        <f>P118+N118</f>
        <v>7041.336677666668</v>
      </c>
      <c r="R118" s="238">
        <f>Q118</f>
        <v>7041.336677666668</v>
      </c>
      <c r="S118" s="215"/>
      <c r="T118" s="215"/>
      <c r="U118" s="1"/>
      <c r="V118" s="1"/>
    </row>
    <row r="119" spans="1:22" s="7" customFormat="1" ht="16.8" thickTop="1" thickBot="1" x14ac:dyDescent="0.3">
      <c r="A119" s="237" t="s">
        <v>261</v>
      </c>
      <c r="B119" s="51"/>
      <c r="C119" s="45"/>
      <c r="D119" s="45"/>
      <c r="E119" s="46"/>
      <c r="F119" s="47"/>
      <c r="G119" s="48"/>
      <c r="H119" s="48"/>
      <c r="I119" s="48"/>
      <c r="J119" s="45"/>
      <c r="K119" s="45"/>
      <c r="L119" s="45"/>
      <c r="M119" s="52">
        <f>D7</f>
        <v>0.14000000000000001</v>
      </c>
      <c r="N119" s="50">
        <f>N116*M119</f>
        <v>16657.016161273277</v>
      </c>
      <c r="O119" s="50"/>
      <c r="P119" s="50"/>
      <c r="Q119" s="50">
        <f>P119+N119</f>
        <v>16657.016161273277</v>
      </c>
      <c r="R119" s="238">
        <f>Q119</f>
        <v>16657.016161273277</v>
      </c>
      <c r="S119" s="215"/>
      <c r="T119" s="215"/>
      <c r="U119" s="1"/>
      <c r="V119" s="1"/>
    </row>
    <row r="120" spans="1:22" s="7" customFormat="1" ht="16.8" thickTop="1" thickBot="1" x14ac:dyDescent="0.3">
      <c r="A120" s="310" t="s">
        <v>262</v>
      </c>
      <c r="B120" s="311"/>
      <c r="C120" s="45"/>
      <c r="D120" s="45"/>
      <c r="E120" s="46"/>
      <c r="F120" s="47"/>
      <c r="G120" s="48"/>
      <c r="H120" s="48"/>
      <c r="I120" s="48"/>
      <c r="J120" s="45"/>
      <c r="K120" s="45"/>
      <c r="L120" s="45"/>
      <c r="M120" s="49">
        <f>D8</f>
        <v>1.4999999999999999E-2</v>
      </c>
      <c r="N120" s="50">
        <f>(N116+N117+N118+N119)*M120</f>
        <v>2034.5355454126643</v>
      </c>
      <c r="O120" s="50"/>
      <c r="P120" s="50">
        <f>(P116+P117+P118+P119)*M120</f>
        <v>1255.8223964618501</v>
      </c>
      <c r="Q120" s="50">
        <f>P120+N120</f>
        <v>3290.3579418745144</v>
      </c>
      <c r="R120" s="238">
        <f>Q120</f>
        <v>3290.3579418745144</v>
      </c>
      <c r="S120" s="215"/>
      <c r="T120" s="215"/>
      <c r="U120" s="1"/>
      <c r="V120" s="1"/>
    </row>
    <row r="121" spans="1:22" s="7" customFormat="1" ht="16.2" thickTop="1" x14ac:dyDescent="0.25">
      <c r="A121" s="312" t="s">
        <v>77</v>
      </c>
      <c r="B121" s="313"/>
      <c r="C121" s="239"/>
      <c r="D121" s="239"/>
      <c r="E121" s="240"/>
      <c r="F121" s="241"/>
      <c r="G121" s="242"/>
      <c r="H121" s="242"/>
      <c r="I121" s="242"/>
      <c r="J121" s="239"/>
      <c r="K121" s="239"/>
      <c r="L121" s="239"/>
      <c r="M121" s="243"/>
      <c r="N121" s="244">
        <f>SUM(N116:N120)</f>
        <v>137670.23857292361</v>
      </c>
      <c r="O121" s="243"/>
      <c r="P121" s="244">
        <f>SUM(P116:P120)</f>
        <v>84977.315493918533</v>
      </c>
      <c r="Q121" s="244">
        <f>SUM(Q116:Q120)</f>
        <v>222647.55406684216</v>
      </c>
      <c r="R121" s="245">
        <f>SUM(R116:R120)</f>
        <v>222647.55406684216</v>
      </c>
      <c r="S121" s="215"/>
      <c r="T121" s="216">
        <f>T116</f>
        <v>222647.55406684213</v>
      </c>
      <c r="U121" s="1"/>
      <c r="V121" s="1"/>
    </row>
  </sheetData>
  <autoFilter ref="J1:J157" xr:uid="{00000000-0001-0000-0300-000000000000}"/>
  <mergeCells count="10">
    <mergeCell ref="T2:T16"/>
    <mergeCell ref="S2:S16"/>
    <mergeCell ref="A120:B120"/>
    <mergeCell ref="A121:B121"/>
    <mergeCell ref="A2:R2"/>
    <mergeCell ref="E16:F16"/>
    <mergeCell ref="B3:E3"/>
    <mergeCell ref="A116:B116"/>
    <mergeCell ref="A117:B117"/>
    <mergeCell ref="C116:I116"/>
  </mergeCells>
  <phoneticPr fontId="49" type="noConversion"/>
  <dataValidations count="1">
    <dataValidation type="list" allowBlank="1" showInputMessage="1" showErrorMessage="1" sqref="E63" xr:uid="{00000000-0002-0000-0300-000000000000}">
      <formula1>#REF!</formula1>
    </dataValidation>
  </dataValidations>
  <hyperlinks>
    <hyperlink ref="B3:E3" location="'COST SUMMARY'!A1" display="CLICK HERE TO GO BACK TO COST SUMMARY" xr:uid="{00000000-0004-0000-0300-000000000000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300-000001000000}">
          <x14:formula1>
            <xm:f>'HOURLY RATES'!$C$6:$C$105</xm:f>
          </x14:formula1>
          <xm:sqref>E21:E32 E60:E62 E54:E57 E47:E51 E34:E36 E39:E44 E65:E66 E109 E114 E70:E87 E106:E107 E89:E104</xm:sqref>
        </x14:dataValidation>
        <x14:dataValidation type="list" allowBlank="1" showInputMessage="1" showErrorMessage="1" xr:uid="{00000000-0002-0000-0300-000002000000}">
          <x14:formula1>
            <xm:f>'HOURLY RATES'!$B$116:$B$126</xm:f>
          </x14:formula1>
          <xm:sqref>J19:J66 J109 J114 J70:J87 J106:J107 J89:J104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7389C-1571-488A-9F6D-4AC1A8053021}">
  <sheetPr>
    <tabColor rgb="FF92D050"/>
    <pageSetUpPr fitToPage="1"/>
  </sheetPr>
  <dimension ref="A1:V106"/>
  <sheetViews>
    <sheetView zoomScale="40" zoomScaleNormal="40" zoomScaleSheetLayoutView="40" workbookViewId="0">
      <pane ySplit="1" topLeftCell="A3" activePane="bottomLeft" state="frozen"/>
      <selection pane="bottomLeft" activeCell="C43" sqref="C43"/>
    </sheetView>
  </sheetViews>
  <sheetFormatPr defaultColWidth="8.90625" defaultRowHeight="15.6" x14ac:dyDescent="0.25"/>
  <cols>
    <col min="1" max="1" width="13" style="4" customWidth="1"/>
    <col min="2" max="2" width="25.7265625" style="4" customWidth="1"/>
    <col min="3" max="3" width="29.81640625" style="4" customWidth="1"/>
    <col min="4" max="4" width="11.26953125" style="4" customWidth="1"/>
    <col min="5" max="5" width="29.1796875" style="4" customWidth="1"/>
    <col min="6" max="6" width="64.453125" style="6" bestFit="1" customWidth="1"/>
    <col min="7" max="7" width="7.81640625" style="5" bestFit="1" customWidth="1"/>
    <col min="8" max="8" width="9.90625" style="5" bestFit="1" customWidth="1"/>
    <col min="9" max="9" width="13.26953125" style="5" bestFit="1" customWidth="1"/>
    <col min="10" max="10" width="14.6328125" style="4" customWidth="1"/>
    <col min="11" max="11" width="32.179687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3.08984375" style="1" bestFit="1" customWidth="1"/>
    <col min="19" max="20" width="21.7265625" style="1" bestFit="1" customWidth="1"/>
    <col min="21" max="21" width="5.5429687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53" t="s">
        <v>175</v>
      </c>
      <c r="B1" s="53" t="s">
        <v>176</v>
      </c>
      <c r="C1" s="53" t="s">
        <v>177</v>
      </c>
      <c r="D1" s="53" t="s">
        <v>178</v>
      </c>
      <c r="E1" s="53" t="s">
        <v>79</v>
      </c>
      <c r="F1" s="53" t="s">
        <v>179</v>
      </c>
      <c r="G1" s="58" t="s">
        <v>180</v>
      </c>
      <c r="H1" s="58" t="s">
        <v>181</v>
      </c>
      <c r="I1" s="58" t="s">
        <v>182</v>
      </c>
      <c r="J1" s="53" t="s">
        <v>183</v>
      </c>
      <c r="K1" s="58" t="s">
        <v>184</v>
      </c>
      <c r="L1" s="58" t="s">
        <v>185</v>
      </c>
      <c r="M1" s="58" t="s">
        <v>186</v>
      </c>
      <c r="N1" s="58" t="s">
        <v>187</v>
      </c>
      <c r="O1" s="59" t="s">
        <v>188</v>
      </c>
      <c r="P1" s="59" t="s">
        <v>189</v>
      </c>
      <c r="Q1" s="53" t="s">
        <v>190</v>
      </c>
      <c r="R1" s="53" t="s">
        <v>191</v>
      </c>
      <c r="S1" s="209" t="s">
        <v>192</v>
      </c>
      <c r="T1" s="210" t="s">
        <v>193</v>
      </c>
      <c r="U1" s="2"/>
      <c r="V1" s="2"/>
    </row>
    <row r="2" spans="1:22" s="40" customFormat="1" ht="21" x14ac:dyDescent="0.2">
      <c r="A2" s="314" t="s">
        <v>194</v>
      </c>
      <c r="B2" s="315"/>
      <c r="C2" s="315"/>
      <c r="D2" s="315"/>
      <c r="E2" s="315"/>
      <c r="F2" s="315"/>
      <c r="G2" s="315"/>
      <c r="H2" s="315"/>
      <c r="I2" s="315"/>
      <c r="J2" s="315"/>
      <c r="K2" s="315"/>
      <c r="L2" s="315"/>
      <c r="M2" s="315"/>
      <c r="N2" s="315"/>
      <c r="O2" s="315"/>
      <c r="P2" s="315"/>
      <c r="Q2" s="315"/>
      <c r="R2" s="316"/>
      <c r="S2" s="307"/>
      <c r="T2" s="304"/>
    </row>
    <row r="3" spans="1:22" ht="21" x14ac:dyDescent="0.4">
      <c r="A3" s="108"/>
      <c r="B3" s="318" t="s">
        <v>195</v>
      </c>
      <c r="C3" s="318"/>
      <c r="D3" s="318"/>
      <c r="E3" s="318"/>
      <c r="F3" s="147"/>
      <c r="G3" s="144"/>
      <c r="H3" s="144"/>
      <c r="I3" s="144"/>
      <c r="J3" s="144"/>
      <c r="K3" s="144"/>
      <c r="L3" s="144"/>
      <c r="M3" s="144"/>
      <c r="N3" s="148"/>
      <c r="O3" s="148"/>
      <c r="P3" s="148"/>
      <c r="Q3" s="148"/>
      <c r="R3" s="101"/>
      <c r="S3" s="308"/>
      <c r="T3" s="305"/>
    </row>
    <row r="4" spans="1:22" ht="23.4" x14ac:dyDescent="0.4">
      <c r="A4" s="108"/>
      <c r="B4" s="34"/>
      <c r="C4" s="246"/>
      <c r="D4" s="247" t="s">
        <v>196</v>
      </c>
      <c r="E4" s="248">
        <f>Q101</f>
        <v>152758.71080693419</v>
      </c>
      <c r="F4" s="249"/>
      <c r="G4" s="208"/>
      <c r="H4" s="34"/>
      <c r="I4" s="263"/>
      <c r="J4" s="264" t="s">
        <v>15</v>
      </c>
      <c r="K4" s="265">
        <v>45929</v>
      </c>
      <c r="L4" s="266"/>
      <c r="M4" s="267"/>
      <c r="N4" s="267"/>
      <c r="O4" s="267"/>
      <c r="P4" s="267"/>
      <c r="Q4" s="268"/>
      <c r="R4" s="217"/>
      <c r="S4" s="308"/>
      <c r="T4" s="305"/>
    </row>
    <row r="5" spans="1:22" ht="21" x14ac:dyDescent="0.4">
      <c r="A5" s="108"/>
      <c r="B5" s="250"/>
      <c r="C5" s="218" t="s">
        <v>197</v>
      </c>
      <c r="D5" s="29">
        <v>8.8999999999999996E-2</v>
      </c>
      <c r="E5" s="23">
        <f>P101*D5</f>
        <v>4160.8602289722221</v>
      </c>
      <c r="F5" s="251" t="s">
        <v>198</v>
      </c>
      <c r="G5" s="208"/>
      <c r="H5" s="250"/>
      <c r="I5" s="219"/>
      <c r="J5" s="220" t="s">
        <v>17</v>
      </c>
      <c r="K5" s="221" t="s">
        <v>753</v>
      </c>
      <c r="L5" s="222"/>
      <c r="M5" s="223"/>
      <c r="N5" s="223"/>
      <c r="O5" s="223"/>
      <c r="P5" s="223"/>
      <c r="Q5" s="269"/>
      <c r="R5" s="217"/>
      <c r="S5" s="308"/>
      <c r="T5" s="305"/>
    </row>
    <row r="6" spans="1:22" ht="21" x14ac:dyDescent="0.4">
      <c r="A6" s="108"/>
      <c r="B6" s="250"/>
      <c r="C6" s="218" t="s">
        <v>199</v>
      </c>
      <c r="D6" s="30">
        <v>0.1</v>
      </c>
      <c r="E6" s="23">
        <f>P101*D6</f>
        <v>4675.1238527777778</v>
      </c>
      <c r="F6" s="251" t="s">
        <v>200</v>
      </c>
      <c r="G6" s="208"/>
      <c r="H6" s="250"/>
      <c r="I6" s="219"/>
      <c r="J6" s="220" t="s">
        <v>19</v>
      </c>
      <c r="K6" s="224" t="s">
        <v>791</v>
      </c>
      <c r="L6" s="222"/>
      <c r="M6" s="223"/>
      <c r="N6" s="223"/>
      <c r="O6" s="223"/>
      <c r="P6" s="223"/>
      <c r="Q6" s="269"/>
      <c r="R6" s="217"/>
      <c r="S6" s="308"/>
      <c r="T6" s="305"/>
    </row>
    <row r="7" spans="1:22" ht="21" x14ac:dyDescent="0.4">
      <c r="A7" s="108"/>
      <c r="B7" s="250"/>
      <c r="C7" s="218" t="s">
        <v>201</v>
      </c>
      <c r="D7" s="31">
        <v>0.14000000000000001</v>
      </c>
      <c r="E7" s="24">
        <f>N101*D7</f>
        <v>14841.046119081906</v>
      </c>
      <c r="F7" s="251" t="s">
        <v>200</v>
      </c>
      <c r="G7" s="208"/>
      <c r="H7" s="250"/>
      <c r="I7" s="219"/>
      <c r="J7" s="220" t="s">
        <v>202</v>
      </c>
      <c r="K7" s="225" t="s">
        <v>203</v>
      </c>
      <c r="L7" s="222"/>
      <c r="M7" s="223"/>
      <c r="N7" s="223"/>
      <c r="O7" s="223"/>
      <c r="P7" s="223"/>
      <c r="Q7" s="269"/>
      <c r="R7" s="217"/>
      <c r="S7" s="308"/>
      <c r="T7" s="305"/>
    </row>
    <row r="8" spans="1:22" ht="21.6" thickBot="1" x14ac:dyDescent="0.45">
      <c r="A8" s="108"/>
      <c r="B8" s="250"/>
      <c r="C8" s="32" t="s">
        <v>12</v>
      </c>
      <c r="D8" s="33">
        <v>1.4999999999999999E-2</v>
      </c>
      <c r="E8" s="25">
        <f>(E4+E5+E6+E7)*D8</f>
        <v>2646.5361151164916</v>
      </c>
      <c r="F8" s="251" t="s">
        <v>204</v>
      </c>
      <c r="G8" s="208"/>
      <c r="H8" s="250"/>
      <c r="I8" s="219"/>
      <c r="J8" s="220"/>
      <c r="K8" s="225"/>
      <c r="L8" s="222"/>
      <c r="M8" s="223"/>
      <c r="N8" s="223"/>
      <c r="O8" s="223"/>
      <c r="P8" s="223"/>
      <c r="Q8" s="269"/>
      <c r="R8" s="217"/>
      <c r="S8" s="308"/>
      <c r="T8" s="305"/>
    </row>
    <row r="9" spans="1:22" ht="26.4" thickTop="1" x14ac:dyDescent="0.35">
      <c r="A9" s="108"/>
      <c r="B9" s="37"/>
      <c r="C9" s="252"/>
      <c r="D9" s="253" t="s">
        <v>205</v>
      </c>
      <c r="E9" s="254">
        <f>E4+E5+E6+E7+E8</f>
        <v>179082.2771228826</v>
      </c>
      <c r="F9" s="115"/>
      <c r="G9" s="208"/>
      <c r="H9" s="250"/>
      <c r="I9" s="219"/>
      <c r="J9" s="226" t="s">
        <v>206</v>
      </c>
      <c r="K9" s="26"/>
      <c r="L9" s="222"/>
      <c r="M9" s="223"/>
      <c r="N9" s="223"/>
      <c r="O9" s="223"/>
      <c r="P9" s="223"/>
      <c r="Q9" s="269"/>
      <c r="R9" s="217"/>
      <c r="S9" s="308"/>
      <c r="T9" s="305"/>
    </row>
    <row r="10" spans="1:22" ht="18" x14ac:dyDescent="0.35">
      <c r="A10" s="108"/>
      <c r="B10" s="144"/>
      <c r="C10" s="144"/>
      <c r="D10" s="144"/>
      <c r="E10" s="144"/>
      <c r="F10" s="144"/>
      <c r="G10" s="208"/>
      <c r="H10" s="250"/>
      <c r="I10" s="219"/>
      <c r="J10" s="226" t="s">
        <v>207</v>
      </c>
      <c r="K10" s="27"/>
      <c r="L10" s="222"/>
      <c r="M10" s="223"/>
      <c r="N10" s="223"/>
      <c r="O10" s="223"/>
      <c r="P10" s="223"/>
      <c r="Q10" s="269"/>
      <c r="R10" s="217"/>
      <c r="S10" s="308"/>
      <c r="T10" s="305"/>
    </row>
    <row r="11" spans="1:22" ht="18" x14ac:dyDescent="0.35">
      <c r="A11" s="108"/>
      <c r="B11" s="34"/>
      <c r="C11" s="35" t="s">
        <v>208</v>
      </c>
      <c r="D11" s="36">
        <v>0</v>
      </c>
      <c r="E11" s="255" t="s">
        <v>209</v>
      </c>
      <c r="F11" s="249"/>
      <c r="G11" s="208"/>
      <c r="H11" s="250"/>
      <c r="I11" s="219"/>
      <c r="J11" s="227" t="s">
        <v>210</v>
      </c>
      <c r="K11" s="27"/>
      <c r="L11" s="222"/>
      <c r="M11" s="223"/>
      <c r="N11" s="223"/>
      <c r="O11" s="223"/>
      <c r="P11" s="223"/>
      <c r="Q11" s="269"/>
      <c r="R11" s="217"/>
      <c r="S11" s="308"/>
      <c r="T11" s="305"/>
    </row>
    <row r="12" spans="1:22" ht="18" x14ac:dyDescent="0.35">
      <c r="A12" s="108"/>
      <c r="B12" s="37"/>
      <c r="C12" s="38" t="s">
        <v>211</v>
      </c>
      <c r="D12" s="39">
        <v>0.05</v>
      </c>
      <c r="E12" s="228" t="s">
        <v>212</v>
      </c>
      <c r="F12" s="101"/>
      <c r="G12" s="208"/>
      <c r="H12" s="250"/>
      <c r="I12" s="219"/>
      <c r="J12" s="227" t="s">
        <v>213</v>
      </c>
      <c r="K12" s="28"/>
      <c r="L12" s="222"/>
      <c r="M12" s="223"/>
      <c r="N12" s="223"/>
      <c r="O12" s="223"/>
      <c r="P12" s="223"/>
      <c r="Q12" s="269"/>
      <c r="R12" s="217"/>
      <c r="S12" s="308"/>
      <c r="T12" s="305"/>
    </row>
    <row r="13" spans="1:22" ht="18" x14ac:dyDescent="0.35">
      <c r="A13" s="108"/>
      <c r="B13" s="256" t="s">
        <v>214</v>
      </c>
      <c r="C13" s="257"/>
      <c r="D13" s="257"/>
      <c r="E13" s="258"/>
      <c r="F13" s="115"/>
      <c r="G13" s="208"/>
      <c r="H13" s="250"/>
      <c r="I13" s="219"/>
      <c r="J13" s="226" t="s">
        <v>215</v>
      </c>
      <c r="K13" s="27">
        <v>0</v>
      </c>
      <c r="L13" s="222"/>
      <c r="M13" s="223"/>
      <c r="N13" s="223"/>
      <c r="O13" s="223"/>
      <c r="P13" s="223"/>
      <c r="Q13" s="269"/>
      <c r="R13" s="217"/>
      <c r="S13" s="308"/>
      <c r="T13" s="305"/>
    </row>
    <row r="14" spans="1:22" ht="21" x14ac:dyDescent="0.35">
      <c r="A14" s="108"/>
      <c r="B14" s="229"/>
      <c r="C14" s="229"/>
      <c r="D14" s="142"/>
      <c r="E14" s="142"/>
      <c r="F14" s="147"/>
      <c r="G14" s="208"/>
      <c r="H14" s="250"/>
      <c r="I14" s="219"/>
      <c r="J14" s="226" t="s">
        <v>216</v>
      </c>
      <c r="K14" s="27">
        <v>0</v>
      </c>
      <c r="L14" s="222"/>
      <c r="M14" s="223"/>
      <c r="N14" s="223"/>
      <c r="O14" s="223"/>
      <c r="P14" s="223"/>
      <c r="Q14" s="269"/>
      <c r="R14" s="217"/>
      <c r="S14" s="308"/>
      <c r="T14" s="305"/>
    </row>
    <row r="15" spans="1:22" ht="21" x14ac:dyDescent="0.4">
      <c r="A15" s="108"/>
      <c r="B15" s="259" t="s">
        <v>217</v>
      </c>
      <c r="C15" s="260"/>
      <c r="D15" s="261"/>
      <c r="E15" s="261"/>
      <c r="F15" s="262"/>
      <c r="G15" s="208"/>
      <c r="H15" s="37"/>
      <c r="I15" s="270"/>
      <c r="J15" s="271"/>
      <c r="K15" s="28"/>
      <c r="L15" s="272"/>
      <c r="M15" s="273"/>
      <c r="N15" s="273"/>
      <c r="O15" s="273"/>
      <c r="P15" s="273"/>
      <c r="Q15" s="274"/>
      <c r="R15" s="217"/>
      <c r="S15" s="308"/>
      <c r="T15" s="305"/>
      <c r="U15" s="12"/>
    </row>
    <row r="16" spans="1:22" ht="21" x14ac:dyDescent="0.25">
      <c r="A16" s="108"/>
      <c r="B16" s="142"/>
      <c r="C16" s="142"/>
      <c r="D16" s="142"/>
      <c r="E16" s="317"/>
      <c r="F16" s="317"/>
      <c r="G16" s="144"/>
      <c r="H16" s="144"/>
      <c r="I16" s="144"/>
      <c r="J16" s="144"/>
      <c r="K16" s="144"/>
      <c r="L16" s="144"/>
      <c r="M16" s="144"/>
      <c r="N16" s="144"/>
      <c r="O16" s="144"/>
      <c r="P16" s="144"/>
      <c r="Q16" s="144"/>
      <c r="R16" s="230"/>
      <c r="S16" s="309"/>
      <c r="T16" s="306"/>
      <c r="U16" s="12"/>
    </row>
    <row r="17" spans="1:22" s="3" customFormat="1" ht="46.8" x14ac:dyDescent="0.25">
      <c r="A17" s="53" t="s">
        <v>175</v>
      </c>
      <c r="B17" s="53" t="s">
        <v>176</v>
      </c>
      <c r="C17" s="53" t="s">
        <v>177</v>
      </c>
      <c r="D17" s="53" t="s">
        <v>178</v>
      </c>
      <c r="E17" s="53" t="s">
        <v>79</v>
      </c>
      <c r="F17" s="277" t="s">
        <v>179</v>
      </c>
      <c r="G17" s="58" t="s">
        <v>180</v>
      </c>
      <c r="H17" s="58" t="s">
        <v>181</v>
      </c>
      <c r="I17" s="58" t="s">
        <v>182</v>
      </c>
      <c r="J17" s="53" t="s">
        <v>183</v>
      </c>
      <c r="K17" s="58" t="s">
        <v>184</v>
      </c>
      <c r="L17" s="58" t="s">
        <v>185</v>
      </c>
      <c r="M17" s="58" t="s">
        <v>186</v>
      </c>
      <c r="N17" s="58" t="s">
        <v>187</v>
      </c>
      <c r="O17" s="59" t="s">
        <v>188</v>
      </c>
      <c r="P17" s="59" t="s">
        <v>189</v>
      </c>
      <c r="Q17" s="53" t="s">
        <v>190</v>
      </c>
      <c r="R17" s="53" t="s">
        <v>191</v>
      </c>
      <c r="S17" s="209" t="s">
        <v>218</v>
      </c>
      <c r="T17" s="210" t="s">
        <v>219</v>
      </c>
      <c r="U17" s="2"/>
      <c r="V17" s="2"/>
    </row>
    <row r="18" spans="1:22" s="7" customFormat="1" x14ac:dyDescent="0.25">
      <c r="A18" s="297"/>
      <c r="B18" s="297"/>
      <c r="C18" s="297"/>
      <c r="D18" s="297" t="s">
        <v>44</v>
      </c>
      <c r="E18" s="298"/>
      <c r="F18" s="299" t="s">
        <v>220</v>
      </c>
      <c r="G18" s="300"/>
      <c r="H18" s="299"/>
      <c r="I18" s="301"/>
      <c r="J18" s="301"/>
      <c r="K18" s="299"/>
      <c r="L18" s="299"/>
      <c r="M18" s="299"/>
      <c r="N18" s="299"/>
      <c r="O18" s="299"/>
      <c r="P18" s="299"/>
      <c r="Q18" s="299"/>
      <c r="R18" s="302">
        <f>SUM(Q19:Q65)</f>
        <v>20034.690817417544</v>
      </c>
      <c r="S18" s="213"/>
      <c r="T18" s="214"/>
      <c r="U18" s="13">
        <f>SUM(Q67:Q100)</f>
        <v>132724.01998951667</v>
      </c>
    </row>
    <row r="19" spans="1:22" s="7" customFormat="1" x14ac:dyDescent="0.25">
      <c r="A19" s="232"/>
      <c r="B19" s="54"/>
      <c r="C19" s="54"/>
      <c r="D19" s="119"/>
      <c r="E19" s="285"/>
      <c r="F19" s="278" t="s">
        <v>245</v>
      </c>
      <c r="G19" s="55"/>
      <c r="H19" s="56"/>
      <c r="I19" s="57"/>
      <c r="J19" s="118"/>
      <c r="K19" s="60"/>
      <c r="L19" s="63"/>
      <c r="M19" s="64"/>
      <c r="N19" s="65"/>
      <c r="O19" s="67"/>
      <c r="P19" s="67"/>
      <c r="Q19" s="68"/>
      <c r="R19" s="275"/>
      <c r="S19" s="211"/>
      <c r="T19" s="212"/>
      <c r="U19" s="14"/>
    </row>
    <row r="20" spans="1:22" s="7" customFormat="1" x14ac:dyDescent="0.25">
      <c r="A20" s="232"/>
      <c r="B20" s="54"/>
      <c r="C20" s="54"/>
      <c r="D20" s="119"/>
      <c r="E20" s="285"/>
      <c r="F20" s="279" t="s">
        <v>760</v>
      </c>
      <c r="G20" s="55"/>
      <c r="H20" s="56"/>
      <c r="I20" s="57"/>
      <c r="J20" s="118"/>
      <c r="K20" s="60"/>
      <c r="L20" s="66"/>
      <c r="M20" s="64"/>
      <c r="N20" s="65"/>
      <c r="O20" s="67"/>
      <c r="P20" s="67"/>
      <c r="Q20" s="68"/>
      <c r="R20" s="276"/>
      <c r="S20" s="211"/>
      <c r="T20" s="212"/>
    </row>
    <row r="21" spans="1:22" s="7" customFormat="1" x14ac:dyDescent="0.25">
      <c r="A21" s="233">
        <f>IF(J21&lt;&gt;"",1+MAX($A$18:A19),"")</f>
        <v>1</v>
      </c>
      <c r="B21" s="54"/>
      <c r="C21" s="54"/>
      <c r="D21" s="119" t="s">
        <v>44</v>
      </c>
      <c r="E21" s="285" t="s">
        <v>45</v>
      </c>
      <c r="F21" s="278" t="s">
        <v>761</v>
      </c>
      <c r="G21" s="55">
        <v>1</v>
      </c>
      <c r="H21" s="56">
        <f>IF(VLOOKUP(J21,'HOURLY RATES'!B$116:C$124,2,0)=0,$J$3,VLOOKUP(J21,'HOURLY RATES'!B$116:C$124,2,0))</f>
        <v>0</v>
      </c>
      <c r="I21" s="57">
        <f>(G21*(1+H21))</f>
        <v>1</v>
      </c>
      <c r="J21" s="118" t="s">
        <v>221</v>
      </c>
      <c r="K21" s="62"/>
      <c r="L21" s="66">
        <f>K21*I21</f>
        <v>0</v>
      </c>
      <c r="M21" s="64">
        <f>IF(VLOOKUP(E21,'HOURLY RATES'!C$6:D$105,2,0)=0,$E$3,VLOOKUP(E21,'HOURLY RATES'!C$6:D$105,2,0))</f>
        <v>66.11</v>
      </c>
      <c r="N21" s="64">
        <f>M21*L21</f>
        <v>0</v>
      </c>
      <c r="O21" s="67"/>
      <c r="P21" s="67"/>
      <c r="Q21" s="68">
        <f>P21+N21</f>
        <v>0</v>
      </c>
      <c r="R21" s="276"/>
      <c r="S21" s="213">
        <f>((((N21*(1+$D$7))+(P21*(1+$D$5+$D$6)))*(1+$D$8)))/I21</f>
        <v>0</v>
      </c>
      <c r="T21" s="214">
        <f>S21*I21</f>
        <v>0</v>
      </c>
    </row>
    <row r="22" spans="1:22" s="7" customFormat="1" x14ac:dyDescent="0.25">
      <c r="A22" s="233">
        <f>IF(J22&lt;&gt;"",1+MAX($A$18:A21),"")</f>
        <v>2</v>
      </c>
      <c r="B22" s="54"/>
      <c r="C22" s="54"/>
      <c r="D22" s="119" t="s">
        <v>44</v>
      </c>
      <c r="E22" s="285" t="s">
        <v>45</v>
      </c>
      <c r="F22" s="278" t="s">
        <v>762</v>
      </c>
      <c r="G22" s="55">
        <v>1</v>
      </c>
      <c r="H22" s="56">
        <f>IF(VLOOKUP(J22,'HOURLY RATES'!B$116:C$124,2,0)=0,$J$3,VLOOKUP(J22,'HOURLY RATES'!B$116:C$124,2,0))</f>
        <v>0</v>
      </c>
      <c r="I22" s="57">
        <f t="shared" ref="I22:I31" si="0">(G22*(1+H22))</f>
        <v>1</v>
      </c>
      <c r="J22" s="118" t="s">
        <v>221</v>
      </c>
      <c r="K22" s="62"/>
      <c r="L22" s="66">
        <f t="shared" ref="L22:L31" si="1">K22*I22</f>
        <v>0</v>
      </c>
      <c r="M22" s="64">
        <f>IF(VLOOKUP(E22,'HOURLY RATES'!C$6:D$105,2,0)=0,$E$3,VLOOKUP(E22,'HOURLY RATES'!C$6:D$105,2,0))</f>
        <v>66.11</v>
      </c>
      <c r="N22" s="64">
        <f t="shared" ref="N22:N31" si="2">M22*L22</f>
        <v>0</v>
      </c>
      <c r="O22" s="67"/>
      <c r="P22" s="67"/>
      <c r="Q22" s="68">
        <f t="shared" ref="Q22:Q62" si="3">P22+N22</f>
        <v>0</v>
      </c>
      <c r="R22" s="276"/>
      <c r="S22" s="213">
        <f t="shared" ref="S22:S31" si="4">((((N22*(1+$D$7))+(P22*(1+$D$5+$D$6)))*(1+$D$8)))/I22</f>
        <v>0</v>
      </c>
      <c r="T22" s="214">
        <f t="shared" ref="T22:T31" si="5">S22*I22</f>
        <v>0</v>
      </c>
    </row>
    <row r="23" spans="1:22" s="7" customFormat="1" x14ac:dyDescent="0.25">
      <c r="A23" s="233">
        <f>IF(J23&lt;&gt;"",1+MAX($A$18:A22),"")</f>
        <v>3</v>
      </c>
      <c r="B23" s="54"/>
      <c r="C23" s="54"/>
      <c r="D23" s="119" t="s">
        <v>44</v>
      </c>
      <c r="E23" s="285" t="s">
        <v>45</v>
      </c>
      <c r="F23" s="278" t="s">
        <v>222</v>
      </c>
      <c r="G23" s="55">
        <v>1</v>
      </c>
      <c r="H23" s="56">
        <f>IF(VLOOKUP(J23,'HOURLY RATES'!B$116:C$124,2,0)=0,$J$3,VLOOKUP(J23,'HOURLY RATES'!B$116:C$124,2,0))</f>
        <v>0</v>
      </c>
      <c r="I23" s="57">
        <f t="shared" si="0"/>
        <v>1</v>
      </c>
      <c r="J23" s="118" t="s">
        <v>221</v>
      </c>
      <c r="K23" s="62"/>
      <c r="L23" s="66">
        <f t="shared" si="1"/>
        <v>0</v>
      </c>
      <c r="M23" s="64">
        <f>IF(VLOOKUP(E23,'HOURLY RATES'!C$6:D$105,2,0)=0,$E$3,VLOOKUP(E23,'HOURLY RATES'!C$6:D$105,2,0))</f>
        <v>66.11</v>
      </c>
      <c r="N23" s="64">
        <f t="shared" si="2"/>
        <v>0</v>
      </c>
      <c r="O23" s="67"/>
      <c r="P23" s="67"/>
      <c r="Q23" s="68">
        <f t="shared" si="3"/>
        <v>0</v>
      </c>
      <c r="R23" s="276"/>
      <c r="S23" s="213">
        <f t="shared" si="4"/>
        <v>0</v>
      </c>
      <c r="T23" s="214">
        <f t="shared" si="5"/>
        <v>0</v>
      </c>
    </row>
    <row r="24" spans="1:22" s="7" customFormat="1" x14ac:dyDescent="0.25">
      <c r="A24" s="233">
        <f>IF(J24&lt;&gt;"",1+MAX($A$18:A23),"")</f>
        <v>4</v>
      </c>
      <c r="B24" s="54"/>
      <c r="C24" s="54"/>
      <c r="D24" s="119" t="s">
        <v>44</v>
      </c>
      <c r="E24" s="285" t="s">
        <v>45</v>
      </c>
      <c r="F24" s="278" t="s">
        <v>763</v>
      </c>
      <c r="G24" s="55">
        <v>1</v>
      </c>
      <c r="H24" s="56">
        <f>IF(VLOOKUP(J24,'HOURLY RATES'!B$116:C$124,2,0)=0,$J$3,VLOOKUP(J24,'HOURLY RATES'!B$116:C$124,2,0))</f>
        <v>0</v>
      </c>
      <c r="I24" s="57">
        <f t="shared" si="0"/>
        <v>1</v>
      </c>
      <c r="J24" s="118" t="s">
        <v>221</v>
      </c>
      <c r="K24" s="62"/>
      <c r="L24" s="66">
        <f t="shared" si="1"/>
        <v>0</v>
      </c>
      <c r="M24" s="64">
        <f>IF(VLOOKUP(E24,'HOURLY RATES'!C$6:D$105,2,0)=0,$E$3,VLOOKUP(E24,'HOURLY RATES'!C$6:D$105,2,0))</f>
        <v>66.11</v>
      </c>
      <c r="N24" s="64">
        <f t="shared" si="2"/>
        <v>0</v>
      </c>
      <c r="O24" s="67"/>
      <c r="P24" s="67"/>
      <c r="Q24" s="68">
        <f t="shared" si="3"/>
        <v>0</v>
      </c>
      <c r="R24" s="276"/>
      <c r="S24" s="213">
        <f t="shared" si="4"/>
        <v>0</v>
      </c>
      <c r="T24" s="214">
        <f t="shared" si="5"/>
        <v>0</v>
      </c>
    </row>
    <row r="25" spans="1:22" s="7" customFormat="1" x14ac:dyDescent="0.25">
      <c r="A25" s="233">
        <f>IF(J25&lt;&gt;"",1+MAX($A$18:A24),"")</f>
        <v>5</v>
      </c>
      <c r="B25" s="54"/>
      <c r="C25" s="54"/>
      <c r="D25" s="119" t="s">
        <v>44</v>
      </c>
      <c r="E25" s="285" t="s">
        <v>45</v>
      </c>
      <c r="F25" s="278" t="s">
        <v>764</v>
      </c>
      <c r="G25" s="55">
        <v>1</v>
      </c>
      <c r="H25" s="56">
        <f>IF(VLOOKUP(J25,'HOURLY RATES'!B$116:C$124,2,0)=0,$J$3,VLOOKUP(J25,'HOURLY RATES'!B$116:C$124,2,0))</f>
        <v>0</v>
      </c>
      <c r="I25" s="57">
        <f t="shared" si="0"/>
        <v>1</v>
      </c>
      <c r="J25" s="118" t="s">
        <v>221</v>
      </c>
      <c r="K25" s="62"/>
      <c r="L25" s="66">
        <f t="shared" si="1"/>
        <v>0</v>
      </c>
      <c r="M25" s="64">
        <f>IF(VLOOKUP(E25,'HOURLY RATES'!C$6:D$105,2,0)=0,$E$3,VLOOKUP(E25,'HOURLY RATES'!C$6:D$105,2,0))</f>
        <v>66.11</v>
      </c>
      <c r="N25" s="64">
        <f t="shared" si="2"/>
        <v>0</v>
      </c>
      <c r="O25" s="67"/>
      <c r="P25" s="67"/>
      <c r="Q25" s="68">
        <f t="shared" si="3"/>
        <v>0</v>
      </c>
      <c r="R25" s="276"/>
      <c r="S25" s="213">
        <f t="shared" si="4"/>
        <v>0</v>
      </c>
      <c r="T25" s="214">
        <f t="shared" si="5"/>
        <v>0</v>
      </c>
    </row>
    <row r="26" spans="1:22" s="7" customFormat="1" x14ac:dyDescent="0.25">
      <c r="A26" s="233">
        <f>IF(J26&lt;&gt;"",1+MAX($A$18:A25),"")</f>
        <v>6</v>
      </c>
      <c r="B26" s="54"/>
      <c r="C26" s="54"/>
      <c r="D26" s="119" t="s">
        <v>44</v>
      </c>
      <c r="E26" s="285" t="s">
        <v>45</v>
      </c>
      <c r="F26" s="278" t="s">
        <v>223</v>
      </c>
      <c r="G26" s="55">
        <v>1</v>
      </c>
      <c r="H26" s="56">
        <f>IF(VLOOKUP(J26,'HOURLY RATES'!B$116:C$124,2,0)=0,$J$3,VLOOKUP(J26,'HOURLY RATES'!B$116:C$124,2,0))</f>
        <v>0</v>
      </c>
      <c r="I26" s="57">
        <f t="shared" si="0"/>
        <v>1</v>
      </c>
      <c r="J26" s="118" t="s">
        <v>221</v>
      </c>
      <c r="K26" s="62"/>
      <c r="L26" s="66">
        <f t="shared" si="1"/>
        <v>0</v>
      </c>
      <c r="M26" s="64">
        <f>IF(VLOOKUP(E26,'HOURLY RATES'!C$6:D$105,2,0)=0,$E$3,VLOOKUP(E26,'HOURLY RATES'!C$6:D$105,2,0))</f>
        <v>66.11</v>
      </c>
      <c r="N26" s="64">
        <f t="shared" si="2"/>
        <v>0</v>
      </c>
      <c r="O26" s="67"/>
      <c r="P26" s="67"/>
      <c r="Q26" s="68">
        <f t="shared" si="3"/>
        <v>0</v>
      </c>
      <c r="R26" s="276"/>
      <c r="S26" s="213">
        <f t="shared" si="4"/>
        <v>0</v>
      </c>
      <c r="T26" s="214">
        <f t="shared" si="5"/>
        <v>0</v>
      </c>
    </row>
    <row r="27" spans="1:22" s="7" customFormat="1" x14ac:dyDescent="0.25">
      <c r="A27" s="233">
        <f>IF(J27&lt;&gt;"",1+MAX($A$18:A26),"")</f>
        <v>7</v>
      </c>
      <c r="B27" s="54"/>
      <c r="C27" s="54"/>
      <c r="D27" s="119" t="s">
        <v>44</v>
      </c>
      <c r="E27" s="285" t="s">
        <v>45</v>
      </c>
      <c r="F27" s="278" t="s">
        <v>224</v>
      </c>
      <c r="G27" s="55">
        <v>1</v>
      </c>
      <c r="H27" s="56">
        <f>IF(VLOOKUP(J27,'HOURLY RATES'!B$116:C$124,2,0)=0,$J$3,VLOOKUP(J27,'HOURLY RATES'!B$116:C$124,2,0))</f>
        <v>0</v>
      </c>
      <c r="I27" s="57">
        <f t="shared" si="0"/>
        <v>1</v>
      </c>
      <c r="J27" s="118" t="s">
        <v>221</v>
      </c>
      <c r="K27" s="61">
        <f>1%*($U$18)/M27</f>
        <v>20.07623959907982</v>
      </c>
      <c r="L27" s="66">
        <f t="shared" si="1"/>
        <v>20.07623959907982</v>
      </c>
      <c r="M27" s="64">
        <f>IF(VLOOKUP(E27,'HOURLY RATES'!C$6:D$105,2,0)=0,$E$3,VLOOKUP(E27,'HOURLY RATES'!C$6:D$105,2,0))</f>
        <v>66.11</v>
      </c>
      <c r="N27" s="64">
        <f t="shared" si="2"/>
        <v>1327.2401998951668</v>
      </c>
      <c r="O27" s="67"/>
      <c r="P27" s="67"/>
      <c r="Q27" s="68">
        <f t="shared" si="3"/>
        <v>1327.2401998951668</v>
      </c>
      <c r="R27" s="276"/>
      <c r="S27" s="213">
        <f t="shared" si="4"/>
        <v>1535.7496352986975</v>
      </c>
      <c r="T27" s="214">
        <f t="shared" si="5"/>
        <v>1535.7496352986975</v>
      </c>
    </row>
    <row r="28" spans="1:22" s="7" customFormat="1" x14ac:dyDescent="0.25">
      <c r="A28" s="233">
        <f>IF(J28&lt;&gt;"",1+MAX($A$18:A27),"")</f>
        <v>8</v>
      </c>
      <c r="B28" s="54"/>
      <c r="C28" s="54"/>
      <c r="D28" s="119" t="s">
        <v>44</v>
      </c>
      <c r="E28" s="285" t="s">
        <v>45</v>
      </c>
      <c r="F28" s="278" t="s">
        <v>765</v>
      </c>
      <c r="G28" s="55">
        <v>1</v>
      </c>
      <c r="H28" s="56">
        <f>IF(VLOOKUP(J28,'HOURLY RATES'!B$116:C$124,2,0)=0,$J$3,VLOOKUP(J28,'HOURLY RATES'!B$116:C$124,2,0))</f>
        <v>0</v>
      </c>
      <c r="I28" s="57">
        <f t="shared" si="0"/>
        <v>1</v>
      </c>
      <c r="J28" s="118" t="s">
        <v>221</v>
      </c>
      <c r="K28" s="61"/>
      <c r="L28" s="66">
        <f t="shared" si="1"/>
        <v>0</v>
      </c>
      <c r="M28" s="64">
        <f>IF(VLOOKUP(E28,'HOURLY RATES'!C$6:D$105,2,0)=0,$E$3,VLOOKUP(E28,'HOURLY RATES'!C$6:D$105,2,0))</f>
        <v>66.11</v>
      </c>
      <c r="N28" s="64">
        <f t="shared" si="2"/>
        <v>0</v>
      </c>
      <c r="O28" s="67"/>
      <c r="P28" s="67"/>
      <c r="Q28" s="68">
        <f t="shared" si="3"/>
        <v>0</v>
      </c>
      <c r="R28" s="276"/>
      <c r="S28" s="213">
        <f t="shared" si="4"/>
        <v>0</v>
      </c>
      <c r="T28" s="214">
        <f t="shared" si="5"/>
        <v>0</v>
      </c>
    </row>
    <row r="29" spans="1:22" s="7" customFormat="1" x14ac:dyDescent="0.25">
      <c r="A29" s="233">
        <f>IF(J29&lt;&gt;"",1+MAX($A$18:A28),"")</f>
        <v>9</v>
      </c>
      <c r="B29" s="54"/>
      <c r="C29" s="54"/>
      <c r="D29" s="119" t="s">
        <v>44</v>
      </c>
      <c r="E29" s="285" t="s">
        <v>45</v>
      </c>
      <c r="F29" s="278" t="s">
        <v>225</v>
      </c>
      <c r="G29" s="55">
        <v>1</v>
      </c>
      <c r="H29" s="56">
        <f>IF(VLOOKUP(J29,'HOURLY RATES'!B$116:C$124,2,0)=0,$J$3,VLOOKUP(J29,'HOURLY RATES'!B$116:C$124,2,0))</f>
        <v>0</v>
      </c>
      <c r="I29" s="57">
        <f t="shared" si="0"/>
        <v>1</v>
      </c>
      <c r="J29" s="118" t="s">
        <v>221</v>
      </c>
      <c r="K29" s="61"/>
      <c r="L29" s="66">
        <f t="shared" si="1"/>
        <v>0</v>
      </c>
      <c r="M29" s="64">
        <f>IF(VLOOKUP(E29,'HOURLY RATES'!C$6:D$105,2,0)=0,$E$3,VLOOKUP(E29,'HOURLY RATES'!C$6:D$105,2,0))</f>
        <v>66.11</v>
      </c>
      <c r="N29" s="64">
        <f t="shared" si="2"/>
        <v>0</v>
      </c>
      <c r="O29" s="67"/>
      <c r="P29" s="67"/>
      <c r="Q29" s="68">
        <f t="shared" si="3"/>
        <v>0</v>
      </c>
      <c r="R29" s="276"/>
      <c r="S29" s="213">
        <f t="shared" si="4"/>
        <v>0</v>
      </c>
      <c r="T29" s="214">
        <f t="shared" si="5"/>
        <v>0</v>
      </c>
    </row>
    <row r="30" spans="1:22" s="7" customFormat="1" x14ac:dyDescent="0.25">
      <c r="A30" s="233">
        <f>IF(J30&lt;&gt;"",1+MAX($A$18:A29),"")</f>
        <v>10</v>
      </c>
      <c r="B30" s="54"/>
      <c r="C30" s="54"/>
      <c r="D30" s="119" t="s">
        <v>44</v>
      </c>
      <c r="E30" s="285" t="s">
        <v>45</v>
      </c>
      <c r="F30" s="278" t="s">
        <v>226</v>
      </c>
      <c r="G30" s="55">
        <v>1</v>
      </c>
      <c r="H30" s="56">
        <f>IF(VLOOKUP(J30,'HOURLY RATES'!B$116:C$124,2,0)=0,$J$3,VLOOKUP(J30,'HOURLY RATES'!B$116:C$124,2,0))</f>
        <v>0</v>
      </c>
      <c r="I30" s="57">
        <f t="shared" si="0"/>
        <v>1</v>
      </c>
      <c r="J30" s="118" t="s">
        <v>221</v>
      </c>
      <c r="K30" s="61"/>
      <c r="L30" s="66">
        <f t="shared" si="1"/>
        <v>0</v>
      </c>
      <c r="M30" s="64">
        <f>IF(VLOOKUP(E30,'HOURLY RATES'!C$6:D$105,2,0)=0,$E$3,VLOOKUP(E30,'HOURLY RATES'!C$6:D$105,2,0))</f>
        <v>66.11</v>
      </c>
      <c r="N30" s="64">
        <f t="shared" si="2"/>
        <v>0</v>
      </c>
      <c r="O30" s="67"/>
      <c r="P30" s="67"/>
      <c r="Q30" s="68">
        <f t="shared" si="3"/>
        <v>0</v>
      </c>
      <c r="R30" s="276"/>
      <c r="S30" s="213">
        <f t="shared" si="4"/>
        <v>0</v>
      </c>
      <c r="T30" s="214">
        <f t="shared" si="5"/>
        <v>0</v>
      </c>
    </row>
    <row r="31" spans="1:22" s="7" customFormat="1" x14ac:dyDescent="0.25">
      <c r="A31" s="233">
        <f>IF(J31&lt;&gt;"",1+MAX($A$18:A30),"")</f>
        <v>11</v>
      </c>
      <c r="B31" s="54"/>
      <c r="C31" s="54"/>
      <c r="D31" s="119" t="s">
        <v>44</v>
      </c>
      <c r="E31" s="285" t="s">
        <v>45</v>
      </c>
      <c r="F31" s="278" t="s">
        <v>766</v>
      </c>
      <c r="G31" s="55">
        <v>1</v>
      </c>
      <c r="H31" s="56">
        <f>IF(VLOOKUP(J31,'HOURLY RATES'!B$116:C$124,2,0)=0,$J$3,VLOOKUP(J31,'HOURLY RATES'!B$116:C$124,2,0))</f>
        <v>0</v>
      </c>
      <c r="I31" s="57">
        <f t="shared" si="0"/>
        <v>1</v>
      </c>
      <c r="J31" s="118" t="s">
        <v>221</v>
      </c>
      <c r="K31" s="61"/>
      <c r="L31" s="66">
        <f t="shared" si="1"/>
        <v>0</v>
      </c>
      <c r="M31" s="64">
        <f>IF(VLOOKUP(E31,'HOURLY RATES'!C$6:D$105,2,0)=0,$E$3,VLOOKUP(E31,'HOURLY RATES'!C$6:D$105,2,0))</f>
        <v>66.11</v>
      </c>
      <c r="N31" s="64">
        <f t="shared" si="2"/>
        <v>0</v>
      </c>
      <c r="O31" s="67"/>
      <c r="P31" s="67"/>
      <c r="Q31" s="68">
        <f t="shared" si="3"/>
        <v>0</v>
      </c>
      <c r="R31" s="276"/>
      <c r="S31" s="213">
        <f t="shared" si="4"/>
        <v>0</v>
      </c>
      <c r="T31" s="214">
        <f t="shared" si="5"/>
        <v>0</v>
      </c>
    </row>
    <row r="32" spans="1:22" s="7" customFormat="1" x14ac:dyDescent="0.25">
      <c r="A32" s="233" t="str">
        <f>IF(J32&lt;&gt;"",1+MAX($A$18:A31),"")</f>
        <v/>
      </c>
      <c r="B32" s="54"/>
      <c r="C32" s="54"/>
      <c r="D32" s="119"/>
      <c r="E32" s="285"/>
      <c r="F32" s="278" t="s">
        <v>245</v>
      </c>
      <c r="G32" s="55"/>
      <c r="H32" s="56"/>
      <c r="I32" s="57"/>
      <c r="J32" s="118"/>
      <c r="K32" s="61"/>
      <c r="L32" s="63"/>
      <c r="M32" s="64"/>
      <c r="N32" s="65"/>
      <c r="O32" s="67"/>
      <c r="P32" s="67"/>
      <c r="Q32" s="68"/>
      <c r="R32" s="276"/>
      <c r="S32" s="213"/>
      <c r="T32" s="214"/>
    </row>
    <row r="33" spans="1:20" s="7" customFormat="1" x14ac:dyDescent="0.25">
      <c r="A33" s="233" t="str">
        <f>IF(J33&lt;&gt;"",1+MAX($A$18:A32),"")</f>
        <v/>
      </c>
      <c r="B33" s="54"/>
      <c r="C33" s="54"/>
      <c r="D33" s="119"/>
      <c r="E33" s="285"/>
      <c r="F33" s="279" t="s">
        <v>72</v>
      </c>
      <c r="G33" s="55"/>
      <c r="H33" s="56"/>
      <c r="I33" s="57"/>
      <c r="J33" s="118"/>
      <c r="K33" s="61"/>
      <c r="L33" s="63"/>
      <c r="M33" s="64"/>
      <c r="N33" s="65"/>
      <c r="O33" s="67"/>
      <c r="P33" s="67"/>
      <c r="Q33" s="68"/>
      <c r="R33" s="276"/>
      <c r="S33" s="213"/>
      <c r="T33" s="214"/>
    </row>
    <row r="34" spans="1:20" s="7" customFormat="1" x14ac:dyDescent="0.25">
      <c r="A34" s="233">
        <f>IF(J34&lt;&gt;"",1+MAX($A$18:A33),"")</f>
        <v>12</v>
      </c>
      <c r="B34" s="54"/>
      <c r="C34" s="54"/>
      <c r="D34" s="119" t="s">
        <v>44</v>
      </c>
      <c r="E34" s="285" t="s">
        <v>45</v>
      </c>
      <c r="F34" s="278" t="s">
        <v>767</v>
      </c>
      <c r="G34" s="55">
        <v>1</v>
      </c>
      <c r="H34" s="56">
        <f>IF(VLOOKUP(J34,'HOURLY RATES'!B$116:C$124,2,0)=0,$J$3,VLOOKUP(J34,'HOURLY RATES'!B$116:C$124,2,0))</f>
        <v>0</v>
      </c>
      <c r="I34" s="57">
        <f t="shared" ref="I34:I36" si="6">(G34*(1+H34))</f>
        <v>1</v>
      </c>
      <c r="J34" s="118" t="s">
        <v>221</v>
      </c>
      <c r="K34" s="61">
        <f>0.288%*(U18)/M34</f>
        <v>5.7819570045349868</v>
      </c>
      <c r="L34" s="66">
        <f t="shared" ref="L34:L36" si="7">K34*I34</f>
        <v>5.7819570045349868</v>
      </c>
      <c r="M34" s="64">
        <f>IF(VLOOKUP(E34,'HOURLY RATES'!C$6:D$105,2,0)=0,$E$3,VLOOKUP(E34,'HOURLY RATES'!C$6:D$105,2,0))</f>
        <v>66.11</v>
      </c>
      <c r="N34" s="64">
        <f t="shared" ref="N34:N36" si="8">M34*L34</f>
        <v>382.24517756980799</v>
      </c>
      <c r="O34" s="67"/>
      <c r="P34" s="67"/>
      <c r="Q34" s="68">
        <f t="shared" ref="Q34:Q36" si="9">P34+N34</f>
        <v>382.24517756980799</v>
      </c>
      <c r="R34" s="276"/>
      <c r="S34" s="213">
        <f t="shared" ref="S34:S36" si="10">((((N34*(1+$D$7))+(P34*(1+$D$5+$D$6)))*(1+$D$8)))/I34</f>
        <v>442.29589496602483</v>
      </c>
      <c r="T34" s="214">
        <f t="shared" ref="T34:T36" si="11">S34*I34</f>
        <v>442.29589496602483</v>
      </c>
    </row>
    <row r="35" spans="1:20" s="7" customFormat="1" x14ac:dyDescent="0.25">
      <c r="A35" s="233">
        <f>IF(J35&lt;&gt;"",1+MAX($A$18:A34),"")</f>
        <v>13</v>
      </c>
      <c r="B35" s="54"/>
      <c r="C35" s="54"/>
      <c r="D35" s="119" t="s">
        <v>44</v>
      </c>
      <c r="E35" s="285" t="s">
        <v>45</v>
      </c>
      <c r="F35" s="278" t="s">
        <v>768</v>
      </c>
      <c r="G35" s="55">
        <v>1</v>
      </c>
      <c r="H35" s="56">
        <f>IF(VLOOKUP(J35,'HOURLY RATES'!B$116:C$124,2,0)=0,$J$3,VLOOKUP(J35,'HOURLY RATES'!B$116:C$124,2,0))</f>
        <v>0</v>
      </c>
      <c r="I35" s="57">
        <f t="shared" si="6"/>
        <v>1</v>
      </c>
      <c r="J35" s="118" t="s">
        <v>221</v>
      </c>
      <c r="K35" s="61">
        <f>0.257%*(U18)/M35</f>
        <v>5.1595935769635135</v>
      </c>
      <c r="L35" s="66">
        <f t="shared" si="7"/>
        <v>5.1595935769635135</v>
      </c>
      <c r="M35" s="64">
        <f>IF(VLOOKUP(E35,'HOURLY RATES'!C$6:D$105,2,0)=0,$E$3,VLOOKUP(E35,'HOURLY RATES'!C$6:D$105,2,0))</f>
        <v>66.11</v>
      </c>
      <c r="N35" s="64">
        <f t="shared" si="8"/>
        <v>341.1007313730579</v>
      </c>
      <c r="O35" s="67"/>
      <c r="P35" s="67"/>
      <c r="Q35" s="68">
        <f t="shared" si="9"/>
        <v>341.1007313730579</v>
      </c>
      <c r="R35" s="276"/>
      <c r="S35" s="213">
        <f t="shared" si="10"/>
        <v>394.68765627176532</v>
      </c>
      <c r="T35" s="214">
        <f t="shared" si="11"/>
        <v>394.68765627176532</v>
      </c>
    </row>
    <row r="36" spans="1:20" s="7" customFormat="1" x14ac:dyDescent="0.25">
      <c r="A36" s="233">
        <f>IF(J36&lt;&gt;"",1+MAX($A$18:A35),"")</f>
        <v>14</v>
      </c>
      <c r="B36" s="54"/>
      <c r="C36" s="54"/>
      <c r="D36" s="119" t="s">
        <v>44</v>
      </c>
      <c r="E36" s="285" t="s">
        <v>45</v>
      </c>
      <c r="F36" s="278" t="s">
        <v>769</v>
      </c>
      <c r="G36" s="55">
        <v>1</v>
      </c>
      <c r="H36" s="56">
        <f>IF(VLOOKUP(J36,'HOURLY RATES'!B$116:C$124,2,0)=0,$J$3,VLOOKUP(J36,'HOURLY RATES'!B$116:C$124,2,0))</f>
        <v>0</v>
      </c>
      <c r="I36" s="57">
        <f t="shared" si="6"/>
        <v>1</v>
      </c>
      <c r="J36" s="118" t="s">
        <v>221</v>
      </c>
      <c r="K36" s="61">
        <f>0.65%*(U18)/M36</f>
        <v>13.049555739401882</v>
      </c>
      <c r="L36" s="66">
        <f t="shared" si="7"/>
        <v>13.049555739401882</v>
      </c>
      <c r="M36" s="64">
        <f>IF(VLOOKUP(E36,'HOURLY RATES'!C$6:D$105,2,0)=0,$E$3,VLOOKUP(E36,'HOURLY RATES'!C$6:D$105,2,0))</f>
        <v>66.11</v>
      </c>
      <c r="N36" s="64">
        <f t="shared" si="8"/>
        <v>862.70612993185841</v>
      </c>
      <c r="O36" s="67"/>
      <c r="P36" s="67"/>
      <c r="Q36" s="68">
        <f t="shared" si="9"/>
        <v>862.70612993185841</v>
      </c>
      <c r="R36" s="276"/>
      <c r="S36" s="213">
        <f t="shared" si="10"/>
        <v>998.23726294415337</v>
      </c>
      <c r="T36" s="214">
        <f t="shared" si="11"/>
        <v>998.23726294415337</v>
      </c>
    </row>
    <row r="37" spans="1:20" s="7" customFormat="1" x14ac:dyDescent="0.25">
      <c r="A37" s="233" t="str">
        <f>IF(J37&lt;&gt;"",1+MAX($A$18:A36),"")</f>
        <v/>
      </c>
      <c r="B37" s="54"/>
      <c r="C37" s="54"/>
      <c r="D37" s="119"/>
      <c r="E37" s="285"/>
      <c r="F37" s="278" t="s">
        <v>245</v>
      </c>
      <c r="G37" s="55"/>
      <c r="H37" s="56"/>
      <c r="I37" s="57"/>
      <c r="J37" s="118"/>
      <c r="K37" s="61"/>
      <c r="L37" s="66"/>
      <c r="M37" s="64"/>
      <c r="N37" s="64"/>
      <c r="O37" s="67"/>
      <c r="P37" s="67"/>
      <c r="Q37" s="68"/>
      <c r="R37" s="276"/>
      <c r="S37" s="213"/>
      <c r="T37" s="214"/>
    </row>
    <row r="38" spans="1:20" s="7" customFormat="1" x14ac:dyDescent="0.25">
      <c r="A38" s="233" t="str">
        <f>IF(J38&lt;&gt;"",1+MAX($A$18:A37),"")</f>
        <v/>
      </c>
      <c r="B38" s="54"/>
      <c r="C38" s="54"/>
      <c r="D38" s="119"/>
      <c r="E38" s="285"/>
      <c r="F38" s="279" t="s">
        <v>770</v>
      </c>
      <c r="G38" s="55"/>
      <c r="H38" s="56"/>
      <c r="I38" s="57"/>
      <c r="J38" s="118"/>
      <c r="K38" s="61"/>
      <c r="L38" s="63"/>
      <c r="M38" s="64"/>
      <c r="N38" s="65"/>
      <c r="O38" s="67"/>
      <c r="P38" s="67"/>
      <c r="Q38" s="68"/>
      <c r="R38" s="276"/>
      <c r="S38" s="213"/>
      <c r="T38" s="214"/>
    </row>
    <row r="39" spans="1:20" s="7" customFormat="1" x14ac:dyDescent="0.25">
      <c r="A39" s="233">
        <f>IF(J39&lt;&gt;"",1+MAX($A$18:A38),"")</f>
        <v>15</v>
      </c>
      <c r="B39" s="54"/>
      <c r="C39" s="54"/>
      <c r="D39" s="119" t="s">
        <v>44</v>
      </c>
      <c r="E39" s="285" t="s">
        <v>45</v>
      </c>
      <c r="F39" s="278" t="s">
        <v>227</v>
      </c>
      <c r="G39" s="55">
        <v>1</v>
      </c>
      <c r="H39" s="56">
        <f>IF(VLOOKUP(J39,'HOURLY RATES'!B$116:C$124,2,0)=0,$J$3,VLOOKUP(J39,'HOURLY RATES'!B$116:C$124,2,0))</f>
        <v>0</v>
      </c>
      <c r="I39" s="57">
        <f t="shared" ref="I39:I44" si="12">(G39*(1+H39))</f>
        <v>1</v>
      </c>
      <c r="J39" s="118" t="s">
        <v>221</v>
      </c>
      <c r="K39" s="61"/>
      <c r="L39" s="66">
        <f t="shared" ref="L39:L44" si="13">K39*I39</f>
        <v>0</v>
      </c>
      <c r="M39" s="64">
        <f>IF(VLOOKUP(E39,'HOURLY RATES'!C$6:D$105,2,0)=0,$E$3,VLOOKUP(E39,'HOURLY RATES'!C$6:D$105,2,0))</f>
        <v>66.11</v>
      </c>
      <c r="N39" s="64">
        <f t="shared" ref="N39:N44" si="14">M39*L39</f>
        <v>0</v>
      </c>
      <c r="O39" s="67"/>
      <c r="P39" s="67"/>
      <c r="Q39" s="68">
        <f t="shared" si="3"/>
        <v>0</v>
      </c>
      <c r="R39" s="276"/>
      <c r="S39" s="213">
        <f t="shared" ref="S39:S44" si="15">((((N39*(1+$D$7))+(P39*(1+$D$5+$D$6)))*(1+$D$8)))/I39</f>
        <v>0</v>
      </c>
      <c r="T39" s="214">
        <f t="shared" ref="T39:T44" si="16">S39*I39</f>
        <v>0</v>
      </c>
    </row>
    <row r="40" spans="1:20" s="7" customFormat="1" x14ac:dyDescent="0.25">
      <c r="A40" s="233">
        <f>IF(J40&lt;&gt;"",1+MAX($A$18:A39),"")</f>
        <v>16</v>
      </c>
      <c r="B40" s="54"/>
      <c r="C40" s="54"/>
      <c r="D40" s="119" t="s">
        <v>44</v>
      </c>
      <c r="E40" s="285" t="s">
        <v>45</v>
      </c>
      <c r="F40" s="278" t="s">
        <v>228</v>
      </c>
      <c r="G40" s="55">
        <v>1</v>
      </c>
      <c r="H40" s="56">
        <f>IF(VLOOKUP(J40,'HOURLY RATES'!B$116:C$124,2,0)=0,$J$3,VLOOKUP(J40,'HOURLY RATES'!B$116:C$124,2,0))</f>
        <v>0</v>
      </c>
      <c r="I40" s="57">
        <f t="shared" si="12"/>
        <v>1</v>
      </c>
      <c r="J40" s="118" t="s">
        <v>221</v>
      </c>
      <c r="K40" s="61"/>
      <c r="L40" s="66">
        <f t="shared" si="13"/>
        <v>0</v>
      </c>
      <c r="M40" s="64">
        <f>IF(VLOOKUP(E40,'HOURLY RATES'!C$6:D$105,2,0)=0,$E$3,VLOOKUP(E40,'HOURLY RATES'!C$6:D$105,2,0))</f>
        <v>66.11</v>
      </c>
      <c r="N40" s="64">
        <f t="shared" si="14"/>
        <v>0</v>
      </c>
      <c r="O40" s="67"/>
      <c r="P40" s="67"/>
      <c r="Q40" s="68">
        <f t="shared" si="3"/>
        <v>0</v>
      </c>
      <c r="R40" s="276"/>
      <c r="S40" s="213">
        <f t="shared" si="15"/>
        <v>0</v>
      </c>
      <c r="T40" s="214">
        <f t="shared" si="16"/>
        <v>0</v>
      </c>
    </row>
    <row r="41" spans="1:20" s="7" customFormat="1" x14ac:dyDescent="0.25">
      <c r="A41" s="233">
        <f>IF(J41&lt;&gt;"",1+MAX($A$18:A40),"")</f>
        <v>17</v>
      </c>
      <c r="B41" s="54"/>
      <c r="C41" s="54"/>
      <c r="D41" s="119" t="s">
        <v>44</v>
      </c>
      <c r="E41" s="285" t="s">
        <v>45</v>
      </c>
      <c r="F41" s="278" t="s">
        <v>229</v>
      </c>
      <c r="G41" s="55">
        <v>1</v>
      </c>
      <c r="H41" s="56">
        <f>IF(VLOOKUP(J41,'HOURLY RATES'!B$116:C$124,2,0)=0,$J$3,VLOOKUP(J41,'HOURLY RATES'!B$116:C$124,2,0))</f>
        <v>0</v>
      </c>
      <c r="I41" s="57">
        <f t="shared" si="12"/>
        <v>1</v>
      </c>
      <c r="J41" s="118" t="s">
        <v>221</v>
      </c>
      <c r="K41" s="61"/>
      <c r="L41" s="66">
        <f t="shared" si="13"/>
        <v>0</v>
      </c>
      <c r="M41" s="64">
        <f>IF(VLOOKUP(E41,'HOURLY RATES'!C$6:D$105,2,0)=0,$E$3,VLOOKUP(E41,'HOURLY RATES'!C$6:D$105,2,0))</f>
        <v>66.11</v>
      </c>
      <c r="N41" s="64">
        <f t="shared" si="14"/>
        <v>0</v>
      </c>
      <c r="O41" s="67"/>
      <c r="P41" s="67"/>
      <c r="Q41" s="68">
        <f t="shared" si="3"/>
        <v>0</v>
      </c>
      <c r="R41" s="276"/>
      <c r="S41" s="213">
        <f t="shared" si="15"/>
        <v>0</v>
      </c>
      <c r="T41" s="214">
        <f t="shared" si="16"/>
        <v>0</v>
      </c>
    </row>
    <row r="42" spans="1:20" s="7" customFormat="1" x14ac:dyDescent="0.25">
      <c r="A42" s="233">
        <f>IF(J42&lt;&gt;"",1+MAX($A$18:A41),"")</f>
        <v>18</v>
      </c>
      <c r="B42" s="54"/>
      <c r="C42" s="54"/>
      <c r="D42" s="119" t="s">
        <v>44</v>
      </c>
      <c r="E42" s="285" t="s">
        <v>45</v>
      </c>
      <c r="F42" s="278" t="s">
        <v>230</v>
      </c>
      <c r="G42" s="55">
        <v>1</v>
      </c>
      <c r="H42" s="56">
        <f>IF(VLOOKUP(J42,'HOURLY RATES'!B$116:C$124,2,0)=0,$J$3,VLOOKUP(J42,'HOURLY RATES'!B$116:C$124,2,0))</f>
        <v>0</v>
      </c>
      <c r="I42" s="57">
        <f t="shared" si="12"/>
        <v>1</v>
      </c>
      <c r="J42" s="118" t="s">
        <v>221</v>
      </c>
      <c r="K42" s="61"/>
      <c r="L42" s="66">
        <f t="shared" si="13"/>
        <v>0</v>
      </c>
      <c r="M42" s="64">
        <f>IF(VLOOKUP(E42,'HOURLY RATES'!C$6:D$105,2,0)=0,$E$3,VLOOKUP(E42,'HOURLY RATES'!C$6:D$105,2,0))</f>
        <v>66.11</v>
      </c>
      <c r="N42" s="64">
        <f t="shared" si="14"/>
        <v>0</v>
      </c>
      <c r="O42" s="67"/>
      <c r="P42" s="67"/>
      <c r="Q42" s="68">
        <f t="shared" si="3"/>
        <v>0</v>
      </c>
      <c r="R42" s="276"/>
      <c r="S42" s="213">
        <f t="shared" si="15"/>
        <v>0</v>
      </c>
      <c r="T42" s="214">
        <f t="shared" si="16"/>
        <v>0</v>
      </c>
    </row>
    <row r="43" spans="1:20" s="7" customFormat="1" x14ac:dyDescent="0.25">
      <c r="A43" s="233">
        <f>IF(J43&lt;&gt;"",1+MAX($A$18:A42),"")</f>
        <v>19</v>
      </c>
      <c r="B43" s="54"/>
      <c r="C43" s="54"/>
      <c r="D43" s="119" t="s">
        <v>44</v>
      </c>
      <c r="E43" s="285" t="s">
        <v>45</v>
      </c>
      <c r="F43" s="278" t="s">
        <v>231</v>
      </c>
      <c r="G43" s="55">
        <v>1</v>
      </c>
      <c r="H43" s="56">
        <f>IF(VLOOKUP(J43,'HOURLY RATES'!B$116:C$124,2,0)=0,$J$3,VLOOKUP(J43,'HOURLY RATES'!B$116:C$124,2,0))</f>
        <v>0</v>
      </c>
      <c r="I43" s="57">
        <f t="shared" si="12"/>
        <v>1</v>
      </c>
      <c r="J43" s="118" t="s">
        <v>221</v>
      </c>
      <c r="K43" s="61"/>
      <c r="L43" s="66">
        <f t="shared" si="13"/>
        <v>0</v>
      </c>
      <c r="M43" s="64">
        <f>IF(VLOOKUP(E43,'HOURLY RATES'!C$6:D$105,2,0)=0,$E$3,VLOOKUP(E43,'HOURLY RATES'!C$6:D$105,2,0))</f>
        <v>66.11</v>
      </c>
      <c r="N43" s="64">
        <f t="shared" si="14"/>
        <v>0</v>
      </c>
      <c r="O43" s="67"/>
      <c r="P43" s="67"/>
      <c r="Q43" s="68">
        <f t="shared" si="3"/>
        <v>0</v>
      </c>
      <c r="R43" s="276"/>
      <c r="S43" s="213">
        <f t="shared" si="15"/>
        <v>0</v>
      </c>
      <c r="T43" s="214">
        <f t="shared" si="16"/>
        <v>0</v>
      </c>
    </row>
    <row r="44" spans="1:20" s="7" customFormat="1" x14ac:dyDescent="0.25">
      <c r="A44" s="234">
        <f>IF(J44&lt;&gt;"",1+MAX($A$18:A43),"")</f>
        <v>20</v>
      </c>
      <c r="B44" s="54"/>
      <c r="C44" s="54"/>
      <c r="D44" s="119" t="s">
        <v>44</v>
      </c>
      <c r="E44" s="285" t="s">
        <v>45</v>
      </c>
      <c r="F44" s="278" t="s">
        <v>232</v>
      </c>
      <c r="G44" s="55">
        <v>1</v>
      </c>
      <c r="H44" s="56">
        <f>IF(VLOOKUP(J44,'HOURLY RATES'!B$116:C$124,2,0)=0,$J$3,VLOOKUP(J44,'HOURLY RATES'!B$116:C$124,2,0))</f>
        <v>0</v>
      </c>
      <c r="I44" s="57">
        <f t="shared" si="12"/>
        <v>1</v>
      </c>
      <c r="J44" s="118" t="s">
        <v>221</v>
      </c>
      <c r="K44" s="61">
        <f>4%*($U$18)/M44</f>
        <v>80.304958396319279</v>
      </c>
      <c r="L44" s="66">
        <f t="shared" si="13"/>
        <v>80.304958396319279</v>
      </c>
      <c r="M44" s="64">
        <f>IF(VLOOKUP(E44,'HOURLY RATES'!C$6:D$105,2,0)=0,$E$3,VLOOKUP(E44,'HOURLY RATES'!C$6:D$105,2,0))</f>
        <v>66.11</v>
      </c>
      <c r="N44" s="64">
        <f t="shared" si="14"/>
        <v>5308.9607995806673</v>
      </c>
      <c r="O44" s="67"/>
      <c r="P44" s="67"/>
      <c r="Q44" s="68">
        <f t="shared" si="3"/>
        <v>5308.9607995806673</v>
      </c>
      <c r="R44" s="276"/>
      <c r="S44" s="213">
        <f t="shared" si="15"/>
        <v>6142.9985411947901</v>
      </c>
      <c r="T44" s="214">
        <f t="shared" si="16"/>
        <v>6142.9985411947901</v>
      </c>
    </row>
    <row r="45" spans="1:20" s="7" customFormat="1" x14ac:dyDescent="0.25">
      <c r="A45" s="233" t="str">
        <f>IF(J45&lt;&gt;"",1+MAX($A$18:A44),"")</f>
        <v/>
      </c>
      <c r="B45" s="54"/>
      <c r="C45" s="54"/>
      <c r="D45" s="119"/>
      <c r="E45" s="285"/>
      <c r="F45" s="278" t="s">
        <v>245</v>
      </c>
      <c r="G45" s="55"/>
      <c r="H45" s="56"/>
      <c r="I45" s="57"/>
      <c r="J45" s="118"/>
      <c r="K45" s="61"/>
      <c r="L45" s="63"/>
      <c r="M45" s="64"/>
      <c r="N45" s="64"/>
      <c r="O45" s="67"/>
      <c r="P45" s="67"/>
      <c r="Q45" s="68"/>
      <c r="R45" s="276"/>
      <c r="S45" s="213"/>
      <c r="T45" s="214"/>
    </row>
    <row r="46" spans="1:20" s="7" customFormat="1" x14ac:dyDescent="0.25">
      <c r="A46" s="233" t="str">
        <f>IF(J46&lt;&gt;"",1+MAX($A$18:A45),"")</f>
        <v/>
      </c>
      <c r="B46" s="54"/>
      <c r="C46" s="54"/>
      <c r="D46" s="119"/>
      <c r="E46" s="285"/>
      <c r="F46" s="279" t="s">
        <v>771</v>
      </c>
      <c r="G46" s="55"/>
      <c r="H46" s="56"/>
      <c r="I46" s="57"/>
      <c r="J46" s="118"/>
      <c r="K46" s="61"/>
      <c r="L46" s="63"/>
      <c r="M46" s="64"/>
      <c r="N46" s="64"/>
      <c r="O46" s="67"/>
      <c r="P46" s="67"/>
      <c r="Q46" s="68"/>
      <c r="R46" s="276"/>
      <c r="S46" s="213"/>
      <c r="T46" s="214"/>
    </row>
    <row r="47" spans="1:20" s="7" customFormat="1" x14ac:dyDescent="0.25">
      <c r="A47" s="233">
        <f>IF(J47&lt;&gt;"",1+MAX($A$18:A46),"")</f>
        <v>21</v>
      </c>
      <c r="B47" s="54"/>
      <c r="C47" s="54"/>
      <c r="D47" s="119" t="s">
        <v>44</v>
      </c>
      <c r="E47" s="285" t="s">
        <v>45</v>
      </c>
      <c r="F47" s="278" t="s">
        <v>233</v>
      </c>
      <c r="G47" s="55">
        <v>1</v>
      </c>
      <c r="H47" s="56">
        <f>IF(VLOOKUP(J47,'HOURLY RATES'!B$116:C$124,2,0)=0,$J$3,VLOOKUP(J47,'HOURLY RATES'!B$116:C$124,2,0))</f>
        <v>0</v>
      </c>
      <c r="I47" s="57">
        <f t="shared" ref="I47:I51" si="17">(G47*(1+H47))</f>
        <v>1</v>
      </c>
      <c r="J47" s="118" t="s">
        <v>221</v>
      </c>
      <c r="K47" s="61"/>
      <c r="L47" s="66">
        <f t="shared" ref="L47:L51" si="18">K47*I47</f>
        <v>0</v>
      </c>
      <c r="M47" s="64">
        <f>IF(VLOOKUP(E47,'HOURLY RATES'!C$6:D$105,2,0)=0,$E$3,VLOOKUP(E47,'HOURLY RATES'!C$6:D$105,2,0))</f>
        <v>66.11</v>
      </c>
      <c r="N47" s="64">
        <f t="shared" ref="N47:N51" si="19">M47*L47</f>
        <v>0</v>
      </c>
      <c r="O47" s="67"/>
      <c r="P47" s="67"/>
      <c r="Q47" s="68">
        <f t="shared" si="3"/>
        <v>0</v>
      </c>
      <c r="R47" s="276"/>
      <c r="S47" s="213">
        <f t="shared" ref="S47:S51" si="20">((((N47*(1+$D$7))+(P47*(1+$D$5+$D$6)))*(1+$D$8)))/I47</f>
        <v>0</v>
      </c>
      <c r="T47" s="214">
        <f t="shared" ref="T47:T51" si="21">S47*I47</f>
        <v>0</v>
      </c>
    </row>
    <row r="48" spans="1:20" s="7" customFormat="1" x14ac:dyDescent="0.25">
      <c r="A48" s="233">
        <f>IF(J48&lt;&gt;"",1+MAX($A$18:A47),"")</f>
        <v>22</v>
      </c>
      <c r="B48" s="54"/>
      <c r="C48" s="54"/>
      <c r="D48" s="119" t="s">
        <v>44</v>
      </c>
      <c r="E48" s="285" t="s">
        <v>45</v>
      </c>
      <c r="F48" s="278" t="s">
        <v>234</v>
      </c>
      <c r="G48" s="55">
        <v>1</v>
      </c>
      <c r="H48" s="56">
        <f>IF(VLOOKUP(J48,'HOURLY RATES'!B$116:C$124,2,0)=0,$J$3,VLOOKUP(J48,'HOURLY RATES'!B$116:C$124,2,0))</f>
        <v>0</v>
      </c>
      <c r="I48" s="57">
        <f t="shared" si="17"/>
        <v>1</v>
      </c>
      <c r="J48" s="118" t="s">
        <v>221</v>
      </c>
      <c r="K48" s="61"/>
      <c r="L48" s="66">
        <f t="shared" si="18"/>
        <v>0</v>
      </c>
      <c r="M48" s="64">
        <f>IF(VLOOKUP(E48,'HOURLY RATES'!C$6:D$105,2,0)=0,$E$3,VLOOKUP(E48,'HOURLY RATES'!C$6:D$105,2,0))</f>
        <v>66.11</v>
      </c>
      <c r="N48" s="64">
        <f t="shared" si="19"/>
        <v>0</v>
      </c>
      <c r="O48" s="67"/>
      <c r="P48" s="67"/>
      <c r="Q48" s="68">
        <f t="shared" si="3"/>
        <v>0</v>
      </c>
      <c r="R48" s="276"/>
      <c r="S48" s="213">
        <f t="shared" si="20"/>
        <v>0</v>
      </c>
      <c r="T48" s="214">
        <f t="shared" si="21"/>
        <v>0</v>
      </c>
    </row>
    <row r="49" spans="1:20" s="7" customFormat="1" x14ac:dyDescent="0.25">
      <c r="A49" s="233">
        <f>IF(J49&lt;&gt;"",1+MAX($A$18:A48),"")</f>
        <v>23</v>
      </c>
      <c r="B49" s="54"/>
      <c r="C49" s="54"/>
      <c r="D49" s="119" t="s">
        <v>44</v>
      </c>
      <c r="E49" s="285" t="s">
        <v>45</v>
      </c>
      <c r="F49" s="278" t="s">
        <v>235</v>
      </c>
      <c r="G49" s="55">
        <v>1</v>
      </c>
      <c r="H49" s="56">
        <f>IF(VLOOKUP(J49,'HOURLY RATES'!B$116:C$124,2,0)=0,$J$3,VLOOKUP(J49,'HOURLY RATES'!B$116:C$124,2,0))</f>
        <v>0</v>
      </c>
      <c r="I49" s="57">
        <f t="shared" si="17"/>
        <v>1</v>
      </c>
      <c r="J49" s="118" t="s">
        <v>221</v>
      </c>
      <c r="K49" s="61"/>
      <c r="L49" s="66">
        <f t="shared" si="18"/>
        <v>0</v>
      </c>
      <c r="M49" s="64">
        <f>IF(VLOOKUP(E49,'HOURLY RATES'!C$6:D$105,2,0)=0,$E$3,VLOOKUP(E49,'HOURLY RATES'!C$6:D$105,2,0))</f>
        <v>66.11</v>
      </c>
      <c r="N49" s="64">
        <f t="shared" si="19"/>
        <v>0</v>
      </c>
      <c r="O49" s="67"/>
      <c r="P49" s="67"/>
      <c r="Q49" s="68">
        <f t="shared" si="3"/>
        <v>0</v>
      </c>
      <c r="R49" s="276"/>
      <c r="S49" s="213">
        <f t="shared" si="20"/>
        <v>0</v>
      </c>
      <c r="T49" s="214">
        <f t="shared" si="21"/>
        <v>0</v>
      </c>
    </row>
    <row r="50" spans="1:20" s="7" customFormat="1" x14ac:dyDescent="0.25">
      <c r="A50" s="233">
        <f>IF(J50&lt;&gt;"",1+MAX($A$18:A49),"")</f>
        <v>24</v>
      </c>
      <c r="B50" s="54"/>
      <c r="C50" s="54"/>
      <c r="D50" s="119" t="s">
        <v>44</v>
      </c>
      <c r="E50" s="285" t="s">
        <v>45</v>
      </c>
      <c r="F50" s="278" t="s">
        <v>772</v>
      </c>
      <c r="G50" s="55">
        <v>1</v>
      </c>
      <c r="H50" s="56">
        <f>IF(VLOOKUP(J50,'HOURLY RATES'!B$116:C$124,2,0)=0,$J$3,VLOOKUP(J50,'HOURLY RATES'!B$116:C$124,2,0))</f>
        <v>0</v>
      </c>
      <c r="I50" s="57">
        <f t="shared" si="17"/>
        <v>1</v>
      </c>
      <c r="J50" s="118" t="s">
        <v>221</v>
      </c>
      <c r="K50" s="61"/>
      <c r="L50" s="66">
        <f t="shared" si="18"/>
        <v>0</v>
      </c>
      <c r="M50" s="64">
        <f>IF(VLOOKUP(E50,'HOURLY RATES'!C$6:D$105,2,0)=0,$E$3,VLOOKUP(E50,'HOURLY RATES'!C$6:D$105,2,0))</f>
        <v>66.11</v>
      </c>
      <c r="N50" s="64">
        <f t="shared" si="19"/>
        <v>0</v>
      </c>
      <c r="O50" s="67"/>
      <c r="P50" s="67"/>
      <c r="Q50" s="68">
        <f t="shared" si="3"/>
        <v>0</v>
      </c>
      <c r="R50" s="276"/>
      <c r="S50" s="213">
        <f t="shared" si="20"/>
        <v>0</v>
      </c>
      <c r="T50" s="214">
        <f t="shared" si="21"/>
        <v>0</v>
      </c>
    </row>
    <row r="51" spans="1:20" s="7" customFormat="1" x14ac:dyDescent="0.25">
      <c r="A51" s="233">
        <f>IF(J51&lt;&gt;"",1+MAX($A$18:A50),"")</f>
        <v>25</v>
      </c>
      <c r="B51" s="54"/>
      <c r="C51" s="54"/>
      <c r="D51" s="119" t="s">
        <v>44</v>
      </c>
      <c r="E51" s="285" t="s">
        <v>45</v>
      </c>
      <c r="F51" s="278" t="s">
        <v>236</v>
      </c>
      <c r="G51" s="55">
        <v>1</v>
      </c>
      <c r="H51" s="56">
        <f>IF(VLOOKUP(J51,'HOURLY RATES'!B$116:C$124,2,0)=0,$J$3,VLOOKUP(J51,'HOURLY RATES'!B$116:C$124,2,0))</f>
        <v>0</v>
      </c>
      <c r="I51" s="57">
        <f t="shared" si="17"/>
        <v>1</v>
      </c>
      <c r="J51" s="118" t="s">
        <v>221</v>
      </c>
      <c r="K51" s="61"/>
      <c r="L51" s="66">
        <f t="shared" si="18"/>
        <v>0</v>
      </c>
      <c r="M51" s="64">
        <f>IF(VLOOKUP(E51,'HOURLY RATES'!C$6:D$105,2,0)=0,$E$3,VLOOKUP(E51,'HOURLY RATES'!C$6:D$105,2,0))</f>
        <v>66.11</v>
      </c>
      <c r="N51" s="64">
        <f t="shared" si="19"/>
        <v>0</v>
      </c>
      <c r="O51" s="67"/>
      <c r="P51" s="67"/>
      <c r="Q51" s="68">
        <f t="shared" si="3"/>
        <v>0</v>
      </c>
      <c r="R51" s="276"/>
      <c r="S51" s="213">
        <f t="shared" si="20"/>
        <v>0</v>
      </c>
      <c r="T51" s="214">
        <f t="shared" si="21"/>
        <v>0</v>
      </c>
    </row>
    <row r="52" spans="1:20" s="7" customFormat="1" x14ac:dyDescent="0.25">
      <c r="A52" s="233" t="str">
        <f>IF(J52&lt;&gt;"",1+MAX($A$18:A51),"")</f>
        <v/>
      </c>
      <c r="B52" s="54"/>
      <c r="C52" s="54"/>
      <c r="D52" s="119"/>
      <c r="E52" s="285"/>
      <c r="F52" s="278" t="s">
        <v>245</v>
      </c>
      <c r="G52" s="55"/>
      <c r="H52" s="56"/>
      <c r="I52" s="57"/>
      <c r="J52" s="118"/>
      <c r="K52" s="61"/>
      <c r="L52" s="63"/>
      <c r="M52" s="64"/>
      <c r="N52" s="64"/>
      <c r="O52" s="67"/>
      <c r="P52" s="67"/>
      <c r="Q52" s="68"/>
      <c r="R52" s="276"/>
      <c r="S52" s="213"/>
      <c r="T52" s="214"/>
    </row>
    <row r="53" spans="1:20" s="7" customFormat="1" x14ac:dyDescent="0.25">
      <c r="A53" s="233" t="str">
        <f>IF(J53&lt;&gt;"",1+MAX($A$18:A52),"")</f>
        <v/>
      </c>
      <c r="B53" s="54"/>
      <c r="C53" s="54"/>
      <c r="D53" s="119"/>
      <c r="E53" s="285"/>
      <c r="F53" s="279" t="s">
        <v>773</v>
      </c>
      <c r="G53" s="55"/>
      <c r="H53" s="56"/>
      <c r="I53" s="57"/>
      <c r="J53" s="118"/>
      <c r="K53" s="61"/>
      <c r="L53" s="63"/>
      <c r="M53" s="64"/>
      <c r="N53" s="64"/>
      <c r="O53" s="67"/>
      <c r="P53" s="67"/>
      <c r="Q53" s="68"/>
      <c r="R53" s="276"/>
      <c r="S53" s="213"/>
      <c r="T53" s="214"/>
    </row>
    <row r="54" spans="1:20" s="7" customFormat="1" x14ac:dyDescent="0.25">
      <c r="A54" s="233">
        <f>IF(J54&lt;&gt;"",1+MAX($A$18:A53),"")</f>
        <v>26</v>
      </c>
      <c r="B54" s="54"/>
      <c r="C54" s="69"/>
      <c r="D54" s="119" t="s">
        <v>44</v>
      </c>
      <c r="E54" s="285" t="s">
        <v>45</v>
      </c>
      <c r="F54" s="278" t="s">
        <v>237</v>
      </c>
      <c r="G54" s="55">
        <v>1</v>
      </c>
      <c r="H54" s="56">
        <f>IF(VLOOKUP(J54,'HOURLY RATES'!B$116:C$124,2,0)=0,$J$3,VLOOKUP(J54,'HOURLY RATES'!B$116:C$124,2,0))</f>
        <v>0</v>
      </c>
      <c r="I54" s="57">
        <f t="shared" ref="I54:I57" si="22">(G54*(1+H54))</f>
        <v>1</v>
      </c>
      <c r="J54" s="118" t="s">
        <v>221</v>
      </c>
      <c r="K54" s="61"/>
      <c r="L54" s="66">
        <f t="shared" ref="L54:L57" si="23">K54*I54</f>
        <v>0</v>
      </c>
      <c r="M54" s="64">
        <f>IF(VLOOKUP(E54,'HOURLY RATES'!C$6:D$105,2,0)=0,$E$3,VLOOKUP(E54,'HOURLY RATES'!C$6:D$105,2,0))</f>
        <v>66.11</v>
      </c>
      <c r="N54" s="64">
        <f t="shared" ref="N54:N57" si="24">M54*L54</f>
        <v>0</v>
      </c>
      <c r="O54" s="67"/>
      <c r="P54" s="67"/>
      <c r="Q54" s="68">
        <f t="shared" si="3"/>
        <v>0</v>
      </c>
      <c r="R54" s="276"/>
      <c r="S54" s="213">
        <f t="shared" ref="S54:S57" si="25">((((N54*(1+$D$7))+(P54*(1+$D$5+$D$6)))*(1+$D$8)))/I54</f>
        <v>0</v>
      </c>
      <c r="T54" s="214">
        <f t="shared" ref="T54:T57" si="26">S54*I54</f>
        <v>0</v>
      </c>
    </row>
    <row r="55" spans="1:20" s="7" customFormat="1" x14ac:dyDescent="0.25">
      <c r="A55" s="233">
        <f>IF(J55&lt;&gt;"",1+MAX($A$18:A54),"")</f>
        <v>27</v>
      </c>
      <c r="B55" s="54"/>
      <c r="C55" s="69"/>
      <c r="D55" s="119" t="s">
        <v>44</v>
      </c>
      <c r="E55" s="285" t="s">
        <v>45</v>
      </c>
      <c r="F55" s="278" t="s">
        <v>238</v>
      </c>
      <c r="G55" s="55">
        <v>1</v>
      </c>
      <c r="H55" s="56">
        <f>IF(VLOOKUP(J55,'HOURLY RATES'!B$116:C$124,2,0)=0,$J$3,VLOOKUP(J55,'HOURLY RATES'!B$116:C$124,2,0))</f>
        <v>0</v>
      </c>
      <c r="I55" s="57">
        <f t="shared" si="22"/>
        <v>1</v>
      </c>
      <c r="J55" s="118" t="s">
        <v>221</v>
      </c>
      <c r="K55" s="61">
        <f>0.65%*(U18)/M55</f>
        <v>13.049555739401882</v>
      </c>
      <c r="L55" s="66">
        <f t="shared" si="23"/>
        <v>13.049555739401882</v>
      </c>
      <c r="M55" s="64">
        <f>IF(VLOOKUP(E55,'HOURLY RATES'!C$6:D$105,2,0)=0,$E$3,VLOOKUP(E55,'HOURLY RATES'!C$6:D$105,2,0))</f>
        <v>66.11</v>
      </c>
      <c r="N55" s="64">
        <f t="shared" si="24"/>
        <v>862.70612993185841</v>
      </c>
      <c r="O55" s="67"/>
      <c r="P55" s="67"/>
      <c r="Q55" s="68">
        <f t="shared" si="3"/>
        <v>862.70612993185841</v>
      </c>
      <c r="R55" s="276"/>
      <c r="S55" s="213">
        <f t="shared" si="25"/>
        <v>998.23726294415337</v>
      </c>
      <c r="T55" s="214">
        <f t="shared" si="26"/>
        <v>998.23726294415337</v>
      </c>
    </row>
    <row r="56" spans="1:20" s="7" customFormat="1" x14ac:dyDescent="0.25">
      <c r="A56" s="233">
        <f>IF(J56&lt;&gt;"",1+MAX($A$18:A55),"")</f>
        <v>28</v>
      </c>
      <c r="B56" s="54"/>
      <c r="C56" s="69"/>
      <c r="D56" s="119" t="s">
        <v>44</v>
      </c>
      <c r="E56" s="285" t="s">
        <v>45</v>
      </c>
      <c r="F56" s="278" t="s">
        <v>774</v>
      </c>
      <c r="G56" s="55">
        <v>1</v>
      </c>
      <c r="H56" s="56">
        <f>IF(VLOOKUP(J56,'HOURLY RATES'!B$116:C$124,2,0)=0,$J$3,VLOOKUP(J56,'HOURLY RATES'!B$116:C$124,2,0))</f>
        <v>0</v>
      </c>
      <c r="I56" s="57">
        <f t="shared" si="22"/>
        <v>1</v>
      </c>
      <c r="J56" s="118" t="s">
        <v>221</v>
      </c>
      <c r="K56" s="61"/>
      <c r="L56" s="66">
        <f t="shared" si="23"/>
        <v>0</v>
      </c>
      <c r="M56" s="64">
        <f>IF(VLOOKUP(E56,'HOURLY RATES'!C$6:D$105,2,0)=0,$E$3,VLOOKUP(E56,'HOURLY RATES'!C$6:D$105,2,0))</f>
        <v>66.11</v>
      </c>
      <c r="N56" s="64">
        <f t="shared" si="24"/>
        <v>0</v>
      </c>
      <c r="O56" s="67"/>
      <c r="P56" s="67"/>
      <c r="Q56" s="68">
        <f t="shared" si="3"/>
        <v>0</v>
      </c>
      <c r="R56" s="276"/>
      <c r="S56" s="213">
        <f t="shared" si="25"/>
        <v>0</v>
      </c>
      <c r="T56" s="214">
        <f t="shared" si="26"/>
        <v>0</v>
      </c>
    </row>
    <row r="57" spans="1:20" s="7" customFormat="1" x14ac:dyDescent="0.25">
      <c r="A57" s="233">
        <f>IF(J57&lt;&gt;"",1+MAX($A$18:A56),"")</f>
        <v>29</v>
      </c>
      <c r="B57" s="54"/>
      <c r="C57" s="69"/>
      <c r="D57" s="119" t="s">
        <v>44</v>
      </c>
      <c r="E57" s="285" t="s">
        <v>45</v>
      </c>
      <c r="F57" s="278" t="s">
        <v>239</v>
      </c>
      <c r="G57" s="55">
        <v>1</v>
      </c>
      <c r="H57" s="56">
        <f>IF(VLOOKUP(J57,'HOURLY RATES'!B$116:C$124,2,0)=0,$J$3,VLOOKUP(J57,'HOURLY RATES'!B$116:C$124,2,0))</f>
        <v>0</v>
      </c>
      <c r="I57" s="57">
        <f t="shared" si="22"/>
        <v>1</v>
      </c>
      <c r="J57" s="118" t="s">
        <v>221</v>
      </c>
      <c r="K57" s="61"/>
      <c r="L57" s="66">
        <f t="shared" si="23"/>
        <v>0</v>
      </c>
      <c r="M57" s="64">
        <f>IF(VLOOKUP(E57,'HOURLY RATES'!C$6:D$105,2,0)=0,$E$3,VLOOKUP(E57,'HOURLY RATES'!C$6:D$105,2,0))</f>
        <v>66.11</v>
      </c>
      <c r="N57" s="64">
        <f t="shared" si="24"/>
        <v>0</v>
      </c>
      <c r="O57" s="67"/>
      <c r="P57" s="67"/>
      <c r="Q57" s="68">
        <f t="shared" si="3"/>
        <v>0</v>
      </c>
      <c r="R57" s="276"/>
      <c r="S57" s="213">
        <f t="shared" si="25"/>
        <v>0</v>
      </c>
      <c r="T57" s="214">
        <f t="shared" si="26"/>
        <v>0</v>
      </c>
    </row>
    <row r="58" spans="1:20" s="7" customFormat="1" x14ac:dyDescent="0.25">
      <c r="A58" s="233" t="str">
        <f>IF(J58&lt;&gt;"",1+MAX($A$18:A57),"")</f>
        <v/>
      </c>
      <c r="B58" s="54"/>
      <c r="C58" s="69"/>
      <c r="D58" s="119"/>
      <c r="E58" s="285"/>
      <c r="F58" s="278" t="s">
        <v>245</v>
      </c>
      <c r="G58" s="55"/>
      <c r="H58" s="56"/>
      <c r="I58" s="57"/>
      <c r="J58" s="118"/>
      <c r="K58" s="61"/>
      <c r="L58" s="63"/>
      <c r="M58" s="64"/>
      <c r="N58" s="64"/>
      <c r="O58" s="67"/>
      <c r="P58" s="67"/>
      <c r="Q58" s="68"/>
      <c r="R58" s="276"/>
      <c r="S58" s="213"/>
      <c r="T58" s="214"/>
    </row>
    <row r="59" spans="1:20" s="7" customFormat="1" x14ac:dyDescent="0.25">
      <c r="A59" s="233" t="str">
        <f>IF(J59&lt;&gt;"",1+MAX($A$18:A58),"")</f>
        <v/>
      </c>
      <c r="B59" s="54"/>
      <c r="C59" s="69"/>
      <c r="D59" s="119"/>
      <c r="E59" s="285"/>
      <c r="F59" s="279" t="s">
        <v>240</v>
      </c>
      <c r="G59" s="55"/>
      <c r="H59" s="56"/>
      <c r="I59" s="57"/>
      <c r="J59" s="118"/>
      <c r="K59" s="61"/>
      <c r="L59" s="63"/>
      <c r="M59" s="64"/>
      <c r="N59" s="64"/>
      <c r="O59" s="67"/>
      <c r="P59" s="67"/>
      <c r="Q59" s="68"/>
      <c r="R59" s="276"/>
      <c r="S59" s="213"/>
      <c r="T59" s="214"/>
    </row>
    <row r="60" spans="1:20" s="7" customFormat="1" x14ac:dyDescent="0.25">
      <c r="A60" s="233">
        <f>IF(J60&lt;&gt;"",1+MAX($A$18:A59),"")</f>
        <v>30</v>
      </c>
      <c r="B60" s="54"/>
      <c r="C60" s="69"/>
      <c r="D60" s="119" t="s">
        <v>44</v>
      </c>
      <c r="E60" s="285" t="s">
        <v>45</v>
      </c>
      <c r="F60" s="278" t="s">
        <v>241</v>
      </c>
      <c r="G60" s="55">
        <v>1</v>
      </c>
      <c r="H60" s="56">
        <f>IF(VLOOKUP(J60,'HOURLY RATES'!B$116:C$124,2,0)=0,$J$3,VLOOKUP(J60,'HOURLY RATES'!B$116:C$124,2,0))</f>
        <v>0</v>
      </c>
      <c r="I60" s="57">
        <f t="shared" ref="I60:I62" si="27">(G60*(1+H60))</f>
        <v>1</v>
      </c>
      <c r="J60" s="118" t="s">
        <v>221</v>
      </c>
      <c r="K60" s="61"/>
      <c r="L60" s="66">
        <f t="shared" ref="L60:L62" si="28">K60*I60</f>
        <v>0</v>
      </c>
      <c r="M60" s="64">
        <f>IF(VLOOKUP(E60,'HOURLY RATES'!C$6:D$105,2,0)=0,$E$3,VLOOKUP(E60,'HOURLY RATES'!C$6:D$105,2,0))</f>
        <v>66.11</v>
      </c>
      <c r="N60" s="64">
        <f t="shared" ref="N60:N62" si="29">M60*L60</f>
        <v>0</v>
      </c>
      <c r="O60" s="67"/>
      <c r="P60" s="67"/>
      <c r="Q60" s="68">
        <f t="shared" si="3"/>
        <v>0</v>
      </c>
      <c r="R60" s="276"/>
      <c r="S60" s="213">
        <f t="shared" ref="S60:S62" si="30">((((N60*(1+$D$7))+(P60*(1+$D$5+$D$6)))*(1+$D$8)))/I60</f>
        <v>0</v>
      </c>
      <c r="T60" s="214">
        <f t="shared" ref="T60:T62" si="31">S60*I60</f>
        <v>0</v>
      </c>
    </row>
    <row r="61" spans="1:20" s="7" customFormat="1" x14ac:dyDescent="0.25">
      <c r="A61" s="233">
        <f>IF(J61&lt;&gt;"",1+MAX($A$18:A60),"")</f>
        <v>31</v>
      </c>
      <c r="B61" s="54"/>
      <c r="C61" s="69"/>
      <c r="D61" s="119" t="s">
        <v>44</v>
      </c>
      <c r="E61" s="285" t="s">
        <v>45</v>
      </c>
      <c r="F61" s="278" t="s">
        <v>242</v>
      </c>
      <c r="G61" s="55">
        <v>1</v>
      </c>
      <c r="H61" s="56">
        <f>IF(VLOOKUP(J61,'HOURLY RATES'!B$116:C$124,2,0)=0,$J$3,VLOOKUP(J61,'HOURLY RATES'!B$116:C$124,2,0))</f>
        <v>0</v>
      </c>
      <c r="I61" s="57">
        <f t="shared" si="27"/>
        <v>1</v>
      </c>
      <c r="J61" s="118" t="s">
        <v>221</v>
      </c>
      <c r="K61" s="61"/>
      <c r="L61" s="66">
        <f t="shared" si="28"/>
        <v>0</v>
      </c>
      <c r="M61" s="64">
        <f>IF(VLOOKUP(E61,'HOURLY RATES'!C$6:D$105,2,0)=0,$E$3,VLOOKUP(E61,'HOURLY RATES'!C$6:D$105,2,0))</f>
        <v>66.11</v>
      </c>
      <c r="N61" s="64">
        <f t="shared" si="29"/>
        <v>0</v>
      </c>
      <c r="O61" s="67"/>
      <c r="P61" s="67"/>
      <c r="Q61" s="68">
        <f t="shared" si="3"/>
        <v>0</v>
      </c>
      <c r="R61" s="276"/>
      <c r="S61" s="213">
        <f t="shared" si="30"/>
        <v>0</v>
      </c>
      <c r="T61" s="214">
        <f t="shared" si="31"/>
        <v>0</v>
      </c>
    </row>
    <row r="62" spans="1:20" s="7" customFormat="1" x14ac:dyDescent="0.25">
      <c r="A62" s="233">
        <f>IF(J62&lt;&gt;"",1+MAX($A$18:A61),"")</f>
        <v>32</v>
      </c>
      <c r="B62" s="54"/>
      <c r="C62" s="69"/>
      <c r="D62" s="119" t="s">
        <v>44</v>
      </c>
      <c r="E62" s="285" t="s">
        <v>45</v>
      </c>
      <c r="F62" s="278" t="s">
        <v>243</v>
      </c>
      <c r="G62" s="55">
        <v>1</v>
      </c>
      <c r="H62" s="56">
        <f>IF(VLOOKUP(J62,'HOURLY RATES'!B$116:C$124,2,0)=0,$J$3,VLOOKUP(J62,'HOURLY RATES'!B$116:C$124,2,0))</f>
        <v>0</v>
      </c>
      <c r="I62" s="57">
        <f t="shared" si="27"/>
        <v>1</v>
      </c>
      <c r="J62" s="118" t="s">
        <v>221</v>
      </c>
      <c r="K62" s="61"/>
      <c r="L62" s="66">
        <f t="shared" si="28"/>
        <v>0</v>
      </c>
      <c r="M62" s="64">
        <f>IF(VLOOKUP(E62,'HOURLY RATES'!C$6:D$105,2,0)=0,$E$3,VLOOKUP(E62,'HOURLY RATES'!C$6:D$105,2,0))</f>
        <v>66.11</v>
      </c>
      <c r="N62" s="64">
        <f t="shared" si="29"/>
        <v>0</v>
      </c>
      <c r="O62" s="67"/>
      <c r="P62" s="67"/>
      <c r="Q62" s="68">
        <f t="shared" si="3"/>
        <v>0</v>
      </c>
      <c r="R62" s="276"/>
      <c r="S62" s="213">
        <f t="shared" si="30"/>
        <v>0</v>
      </c>
      <c r="T62" s="214">
        <f t="shared" si="31"/>
        <v>0</v>
      </c>
    </row>
    <row r="63" spans="1:20" s="7" customFormat="1" x14ac:dyDescent="0.25">
      <c r="A63" s="233" t="str">
        <f>IF(J63&lt;&gt;"",1+MAX($A$18:A62),"")</f>
        <v/>
      </c>
      <c r="B63" s="54"/>
      <c r="C63" s="69"/>
      <c r="D63" s="119"/>
      <c r="E63" s="285"/>
      <c r="F63" s="278" t="s">
        <v>245</v>
      </c>
      <c r="G63" s="55"/>
      <c r="H63" s="56"/>
      <c r="I63" s="57"/>
      <c r="J63" s="118"/>
      <c r="K63" s="61"/>
      <c r="L63" s="63"/>
      <c r="M63" s="64"/>
      <c r="N63" s="64"/>
      <c r="O63" s="67"/>
      <c r="P63" s="67"/>
      <c r="Q63" s="68"/>
      <c r="R63" s="276"/>
      <c r="S63" s="213"/>
      <c r="T63" s="214"/>
    </row>
    <row r="64" spans="1:20" s="7" customFormat="1" x14ac:dyDescent="0.25">
      <c r="A64" s="233" t="str">
        <f>IF(J64&lt;&gt;"",1+MAX($A$18:A63),"")</f>
        <v/>
      </c>
      <c r="B64" s="54"/>
      <c r="C64" s="69"/>
      <c r="D64" s="119"/>
      <c r="E64" s="285"/>
      <c r="F64" s="279" t="s">
        <v>244</v>
      </c>
      <c r="G64" s="55"/>
      <c r="H64" s="56"/>
      <c r="I64" s="57"/>
      <c r="J64" s="118"/>
      <c r="K64" s="61"/>
      <c r="L64" s="66"/>
      <c r="M64" s="64"/>
      <c r="N64" s="64"/>
      <c r="O64" s="67"/>
      <c r="P64" s="67"/>
      <c r="Q64" s="68"/>
      <c r="R64" s="276"/>
      <c r="S64" s="213"/>
      <c r="T64" s="214"/>
    </row>
    <row r="65" spans="1:20" s="7" customFormat="1" x14ac:dyDescent="0.25">
      <c r="A65" s="233">
        <f>IF(J65&lt;&gt;"",1+MAX($A$18:A64),"")</f>
        <v>33</v>
      </c>
      <c r="B65" s="54"/>
      <c r="C65" s="69"/>
      <c r="D65" s="119" t="s">
        <v>44</v>
      </c>
      <c r="E65" s="285" t="s">
        <v>45</v>
      </c>
      <c r="F65" s="278" t="s">
        <v>244</v>
      </c>
      <c r="G65" s="55">
        <v>1</v>
      </c>
      <c r="H65" s="56">
        <f>IF(VLOOKUP(J65,'HOURLY RATES'!B$116:C$124,2,0)=0,$J$3,VLOOKUP(J65,'HOURLY RATES'!B$116:C$124,2,0))</f>
        <v>0</v>
      </c>
      <c r="I65" s="57">
        <f>(G65*(1+H65))</f>
        <v>1</v>
      </c>
      <c r="J65" s="118" t="s">
        <v>221</v>
      </c>
      <c r="K65" s="61">
        <f>8.25%*($U$18)/M65</f>
        <v>165.62897669240851</v>
      </c>
      <c r="L65" s="66">
        <f t="shared" ref="L65" si="32">K65*I65</f>
        <v>165.62897669240851</v>
      </c>
      <c r="M65" s="64">
        <f>IF(VLOOKUP(E65,'HOURLY RATES'!C$6:D$105,2,0)=0,$E$3,VLOOKUP(E65,'HOURLY RATES'!C$6:D$105,2,0))</f>
        <v>66.11</v>
      </c>
      <c r="N65" s="64">
        <f t="shared" ref="N65" si="33">M65*L65</f>
        <v>10949.731649135127</v>
      </c>
      <c r="O65" s="67"/>
      <c r="P65" s="67"/>
      <c r="Q65" s="68">
        <f t="shared" ref="Q65" si="34">P65+N65</f>
        <v>10949.731649135127</v>
      </c>
      <c r="R65" s="276"/>
      <c r="S65" s="213">
        <f>((((N65*(1+$D$7))+(P65*(1+$D$5+$D$6)))*(1+$D$8)))/I65</f>
        <v>12669.934491214255</v>
      </c>
      <c r="T65" s="214">
        <f>S65*I65</f>
        <v>12669.934491214255</v>
      </c>
    </row>
    <row r="66" spans="1:20" s="7" customFormat="1" x14ac:dyDescent="0.25">
      <c r="A66" s="233" t="str">
        <f>IF(J66&lt;&gt;"",1+MAX($A$18:A65),"")</f>
        <v/>
      </c>
      <c r="B66" s="54"/>
      <c r="C66" s="69"/>
      <c r="D66" s="119"/>
      <c r="E66" s="285"/>
      <c r="F66" s="278" t="s">
        <v>245</v>
      </c>
      <c r="G66" s="55"/>
      <c r="H66" s="56"/>
      <c r="I66" s="57"/>
      <c r="J66" s="118"/>
      <c r="K66" s="61"/>
      <c r="L66" s="66"/>
      <c r="M66" s="64"/>
      <c r="N66" s="64"/>
      <c r="O66" s="67"/>
      <c r="P66" s="67"/>
      <c r="Q66" s="68"/>
      <c r="R66" s="276"/>
      <c r="S66" s="213"/>
      <c r="T66" s="214"/>
    </row>
    <row r="67" spans="1:20" s="7" customFormat="1" x14ac:dyDescent="0.25">
      <c r="A67" s="297" t="str">
        <f>IF(J67&lt;&gt;"",1+MAX($A$18:A66),"")</f>
        <v/>
      </c>
      <c r="B67" s="297"/>
      <c r="C67" s="297"/>
      <c r="D67" s="297" t="s">
        <v>69</v>
      </c>
      <c r="E67" s="298"/>
      <c r="F67" s="299" t="s">
        <v>70</v>
      </c>
      <c r="G67" s="300"/>
      <c r="H67" s="299"/>
      <c r="I67" s="301"/>
      <c r="J67" s="301"/>
      <c r="K67" s="299"/>
      <c r="L67" s="299"/>
      <c r="M67" s="299"/>
      <c r="N67" s="299"/>
      <c r="O67" s="299"/>
      <c r="P67" s="299"/>
      <c r="Q67" s="299"/>
      <c r="R67" s="302">
        <f>SUM(Q68:Q94)</f>
        <v>124995.80705371668</v>
      </c>
      <c r="S67" s="213"/>
      <c r="T67" s="214"/>
    </row>
    <row r="68" spans="1:20" s="7" customFormat="1" x14ac:dyDescent="0.25">
      <c r="A68" s="233" t="str">
        <f>IF(J68&lt;&gt;"",1+MAX($A$18:A67),"")</f>
        <v/>
      </c>
      <c r="B68" s="54"/>
      <c r="C68" s="69"/>
      <c r="D68" s="119"/>
      <c r="E68" s="285"/>
      <c r="F68" s="280" t="s">
        <v>245</v>
      </c>
      <c r="G68" s="55"/>
      <c r="H68" s="56"/>
      <c r="I68" s="57"/>
      <c r="J68" s="118"/>
      <c r="K68" s="61"/>
      <c r="L68" s="66"/>
      <c r="M68" s="64"/>
      <c r="N68" s="64"/>
      <c r="O68" s="67"/>
      <c r="P68" s="67"/>
      <c r="Q68" s="68"/>
      <c r="R68" s="235"/>
      <c r="S68" s="213"/>
      <c r="T68" s="214"/>
    </row>
    <row r="69" spans="1:20" s="7" customFormat="1" x14ac:dyDescent="0.25">
      <c r="A69" s="233" t="str">
        <f>IF(J69&lt;&gt;"",1+MAX($A$18:A68),"")</f>
        <v/>
      </c>
      <c r="B69" s="54"/>
      <c r="C69" s="69"/>
      <c r="D69" s="119"/>
      <c r="E69" s="285"/>
      <c r="F69" s="279" t="s">
        <v>254</v>
      </c>
      <c r="G69" s="55"/>
      <c r="H69" s="56"/>
      <c r="I69" s="57"/>
      <c r="J69" s="118"/>
      <c r="K69" s="61"/>
      <c r="L69" s="66"/>
      <c r="M69" s="64"/>
      <c r="N69" s="64"/>
      <c r="O69" s="67"/>
      <c r="P69" s="67"/>
      <c r="Q69" s="68"/>
      <c r="R69" s="235"/>
      <c r="S69" s="213"/>
      <c r="T69" s="214"/>
    </row>
    <row r="70" spans="1:20" s="7" customFormat="1" ht="46.8" x14ac:dyDescent="0.25">
      <c r="A70" s="233">
        <f>IF(J70&lt;&gt;"",1+MAX($A$18:A69),"")</f>
        <v>34</v>
      </c>
      <c r="B70" s="54" t="s">
        <v>745</v>
      </c>
      <c r="C70" s="69" t="s">
        <v>744</v>
      </c>
      <c r="D70" s="119" t="s">
        <v>69</v>
      </c>
      <c r="E70" s="285" t="s">
        <v>155</v>
      </c>
      <c r="F70" s="281" t="s">
        <v>775</v>
      </c>
      <c r="G70" s="123"/>
      <c r="H70" s="124"/>
      <c r="I70" s="125">
        <v>110</v>
      </c>
      <c r="J70" s="126" t="s">
        <v>247</v>
      </c>
      <c r="K70" s="61"/>
      <c r="L70" s="66"/>
      <c r="M70" s="64"/>
      <c r="N70" s="64"/>
      <c r="O70" s="67"/>
      <c r="P70" s="67"/>
      <c r="Q70" s="68"/>
      <c r="R70" s="235"/>
      <c r="S70" s="213"/>
      <c r="T70" s="214"/>
    </row>
    <row r="71" spans="1:20" s="7" customFormat="1" x14ac:dyDescent="0.25">
      <c r="A71" s="233">
        <f>IF(J71&lt;&gt;"",1+MAX($A$18:A70),"")</f>
        <v>35</v>
      </c>
      <c r="B71" s="54" t="s">
        <v>745</v>
      </c>
      <c r="C71" s="69" t="s">
        <v>744</v>
      </c>
      <c r="D71" s="119" t="s">
        <v>69</v>
      </c>
      <c r="E71" s="285" t="s">
        <v>103</v>
      </c>
      <c r="F71" s="280" t="s">
        <v>253</v>
      </c>
      <c r="G71" s="55">
        <f>(I70*7.33*4.5)/27</f>
        <v>134.38333333333333</v>
      </c>
      <c r="H71" s="56">
        <f>IF(VLOOKUP(J71,'HOURLY RATES'!B$116:C$124,2,0)=0,$J$3,VLOOKUP(J71,'HOURLY RATES'!B$116:C$124,2,0))</f>
        <v>0.05</v>
      </c>
      <c r="I71" s="57">
        <f t="shared" ref="I71:I77" si="35">(G71*(1+H71))</f>
        <v>141.10249999999999</v>
      </c>
      <c r="J71" s="118" t="s">
        <v>249</v>
      </c>
      <c r="K71" s="61">
        <v>0.38500000000000001</v>
      </c>
      <c r="L71" s="66">
        <f t="shared" ref="L71:L77" si="36">K71*I71</f>
        <v>54.324462499999996</v>
      </c>
      <c r="M71" s="64">
        <f>IF(VLOOKUP(E71,'HOURLY RATES'!C$6:D$105,2,0)=0,$E$3,VLOOKUP(E71,'HOURLY RATES'!C$6:D$105,2,0))</f>
        <v>110.14</v>
      </c>
      <c r="N71" s="64">
        <f t="shared" ref="N71:N77" si="37">M71*L71</f>
        <v>5983.2962997499999</v>
      </c>
      <c r="O71" s="67"/>
      <c r="P71" s="67">
        <f t="shared" ref="P71:P77" si="38">O71*I71</f>
        <v>0</v>
      </c>
      <c r="Q71" s="68">
        <f t="shared" ref="Q71:Q77" si="39">P71+N71</f>
        <v>5983.2962997499999</v>
      </c>
      <c r="R71" s="235"/>
      <c r="S71" s="213">
        <f>((((N71*(1+$D$7))+(P71*(1+$D$5+$D$6)))*(1+$D$8)))/I71</f>
        <v>49.065552690000004</v>
      </c>
      <c r="T71" s="214">
        <f>S71*I71</f>
        <v>6923.2721484407248</v>
      </c>
    </row>
    <row r="72" spans="1:20" s="7" customFormat="1" x14ac:dyDescent="0.25">
      <c r="A72" s="233">
        <f>IF(J72&lt;&gt;"",1+MAX($A$18:A71),"")</f>
        <v>36</v>
      </c>
      <c r="B72" s="54" t="s">
        <v>745</v>
      </c>
      <c r="C72" s="69" t="s">
        <v>744</v>
      </c>
      <c r="D72" s="119" t="s">
        <v>69</v>
      </c>
      <c r="E72" s="285" t="s">
        <v>155</v>
      </c>
      <c r="F72" s="280" t="s">
        <v>752</v>
      </c>
      <c r="G72" s="55">
        <f>(4.5*1*I70)/27</f>
        <v>18.333333333333332</v>
      </c>
      <c r="H72" s="56">
        <f>IF(VLOOKUP(J72,'HOURLY RATES'!B$116:C$124,2,0)=0,$J$3,VLOOKUP(J72,'HOURLY RATES'!B$116:C$124,2,0))</f>
        <v>0.05</v>
      </c>
      <c r="I72" s="57">
        <f t="shared" si="35"/>
        <v>19.25</v>
      </c>
      <c r="J72" s="118" t="s">
        <v>249</v>
      </c>
      <c r="K72" s="61">
        <v>2.5</v>
      </c>
      <c r="L72" s="66">
        <f t="shared" si="36"/>
        <v>48.125</v>
      </c>
      <c r="M72" s="64">
        <f>IF(VLOOKUP(E72,'HOURLY RATES'!C$6:D$105,2,0)=0,$E$3,VLOOKUP(E72,'HOURLY RATES'!C$6:D$105,2,0))</f>
        <v>65</v>
      </c>
      <c r="N72" s="64">
        <f t="shared" si="37"/>
        <v>3128.125</v>
      </c>
      <c r="O72" s="67">
        <v>232.3</v>
      </c>
      <c r="P72" s="67">
        <f t="shared" si="38"/>
        <v>4471.7750000000005</v>
      </c>
      <c r="Q72" s="68">
        <f t="shared" si="39"/>
        <v>7599.9000000000005</v>
      </c>
      <c r="R72" s="235"/>
      <c r="S72" s="213">
        <f>((((N72*(1+$D$7))+(P72*(1+$D$5+$D$6)))*(1+$D$8)))/I72</f>
        <v>468.37652049999997</v>
      </c>
      <c r="T72" s="214">
        <f>S72*I72</f>
        <v>9016.2480196249999</v>
      </c>
    </row>
    <row r="73" spans="1:20" s="7" customFormat="1" x14ac:dyDescent="0.25">
      <c r="A73" s="233">
        <f>IF(J73&lt;&gt;"",1+MAX($A$18:A72),"")</f>
        <v>37</v>
      </c>
      <c r="B73" s="54" t="s">
        <v>745</v>
      </c>
      <c r="C73" s="69" t="s">
        <v>744</v>
      </c>
      <c r="D73" s="119" t="s">
        <v>69</v>
      </c>
      <c r="E73" s="285" t="s">
        <v>155</v>
      </c>
      <c r="F73" s="280" t="s">
        <v>743</v>
      </c>
      <c r="G73" s="55">
        <f>(1*I70)*2</f>
        <v>220</v>
      </c>
      <c r="H73" s="56">
        <f>IF(VLOOKUP(J73,'HOURLY RATES'!B$116:C$124,2,0)=0,$J$3,VLOOKUP(J73,'HOURLY RATES'!B$116:C$124,2,0))</f>
        <v>0.05</v>
      </c>
      <c r="I73" s="57">
        <f t="shared" si="35"/>
        <v>231</v>
      </c>
      <c r="J73" s="118" t="s">
        <v>246</v>
      </c>
      <c r="K73" s="61">
        <v>0.06</v>
      </c>
      <c r="L73" s="66">
        <f t="shared" si="36"/>
        <v>13.86</v>
      </c>
      <c r="M73" s="64">
        <f>IF(VLOOKUP(E73,'HOURLY RATES'!C$6:D$105,2,0)=0,$E$3,VLOOKUP(E73,'HOURLY RATES'!C$6:D$105,2,0))</f>
        <v>65</v>
      </c>
      <c r="N73" s="64">
        <f t="shared" si="37"/>
        <v>900.9</v>
      </c>
      <c r="O73" s="67">
        <v>1.7230000000000001</v>
      </c>
      <c r="P73" s="67">
        <f t="shared" si="38"/>
        <v>398.01300000000003</v>
      </c>
      <c r="Q73" s="68">
        <f t="shared" si="39"/>
        <v>1298.913</v>
      </c>
      <c r="R73" s="235"/>
      <c r="S73" s="213">
        <f>((((N73*(1+$D$7))+(P73*(1+$D$5+$D$6)))*(1+$D$8)))/I73</f>
        <v>6.5920667049999988</v>
      </c>
      <c r="T73" s="214">
        <f>S73*I73</f>
        <v>1522.7674088549998</v>
      </c>
    </row>
    <row r="74" spans="1:20" s="7" customFormat="1" x14ac:dyDescent="0.25">
      <c r="A74" s="233">
        <f>IF(J74&lt;&gt;"",1+MAX($A$18:A73),"")</f>
        <v>38</v>
      </c>
      <c r="B74" s="54" t="s">
        <v>745</v>
      </c>
      <c r="C74" s="69" t="s">
        <v>744</v>
      </c>
      <c r="D74" s="119" t="s">
        <v>46</v>
      </c>
      <c r="E74" s="285" t="s">
        <v>103</v>
      </c>
      <c r="F74" s="278" t="s">
        <v>751</v>
      </c>
      <c r="G74" s="55">
        <f>2*5.33*I70/27</f>
        <v>43.429629629629623</v>
      </c>
      <c r="H74" s="56">
        <f>IF(VLOOKUP(J74,'HOURLY RATES'!B$116:C$124,2,0)=0,$J$3,VLOOKUP(J74,'HOURLY RATES'!B$116:C$124,2,0))</f>
        <v>0.05</v>
      </c>
      <c r="I74" s="57">
        <f t="shared" si="35"/>
        <v>45.601111111111109</v>
      </c>
      <c r="J74" s="118" t="s">
        <v>249</v>
      </c>
      <c r="K74" s="61">
        <v>1.4430000000000001</v>
      </c>
      <c r="L74" s="66">
        <f t="shared" si="36"/>
        <v>65.802403333333331</v>
      </c>
      <c r="M74" s="64">
        <f>IF(VLOOKUP(E74,'HOURLY RATES'!C$6:D$105,2,0)=0,$E$3,VLOOKUP(E74,'HOURLY RATES'!C$6:D$105,2,0))</f>
        <v>110.14</v>
      </c>
      <c r="N74" s="64">
        <f t="shared" si="37"/>
        <v>7247.4767031333331</v>
      </c>
      <c r="O74" s="67"/>
      <c r="P74" s="67">
        <f t="shared" si="38"/>
        <v>0</v>
      </c>
      <c r="Q74" s="68">
        <f t="shared" si="39"/>
        <v>7247.4767031333331</v>
      </c>
      <c r="R74" s="235"/>
      <c r="S74" s="213">
        <f t="shared" ref="S74:S75" si="40">((((N74*(1+$D$7))+(P74*(1+$D$5+$D$6)))*(1+$D$8)))/I74</f>
        <v>183.90024034200002</v>
      </c>
      <c r="T74" s="214">
        <f t="shared" ref="T74:T75" si="41">S74*I74</f>
        <v>8386.0552931955808</v>
      </c>
    </row>
    <row r="75" spans="1:20" s="7" customFormat="1" x14ac:dyDescent="0.25">
      <c r="A75" s="233">
        <f>IF(J75&lt;&gt;"",1+MAX($A$18:A74),"")</f>
        <v>39</v>
      </c>
      <c r="B75" s="54" t="s">
        <v>745</v>
      </c>
      <c r="C75" s="69" t="s">
        <v>744</v>
      </c>
      <c r="D75" s="119" t="s">
        <v>46</v>
      </c>
      <c r="E75" s="285" t="s">
        <v>103</v>
      </c>
      <c r="F75" s="278" t="s">
        <v>750</v>
      </c>
      <c r="G75" s="55">
        <f>G71-G74</f>
        <v>90.953703703703695</v>
      </c>
      <c r="H75" s="56">
        <f>IF(VLOOKUP(J75,'HOURLY RATES'!B$116:C$124,2,0)=0,$J$3,VLOOKUP(J75,'HOURLY RATES'!B$116:C$124,2,0))</f>
        <v>0.05</v>
      </c>
      <c r="I75" s="57">
        <f t="shared" si="35"/>
        <v>95.501388888888883</v>
      </c>
      <c r="J75" s="118" t="s">
        <v>249</v>
      </c>
      <c r="K75" s="61">
        <v>1.5</v>
      </c>
      <c r="L75" s="66">
        <f t="shared" si="36"/>
        <v>143.25208333333333</v>
      </c>
      <c r="M75" s="64">
        <f>IF(VLOOKUP(E75,'HOURLY RATES'!C$6:D$105,2,0)=0,$E$3,VLOOKUP(E75,'HOURLY RATES'!C$6:D$105,2,0))</f>
        <v>110.14</v>
      </c>
      <c r="N75" s="64">
        <f t="shared" si="37"/>
        <v>15777.784458333334</v>
      </c>
      <c r="O75" s="67"/>
      <c r="P75" s="67">
        <f t="shared" si="38"/>
        <v>0</v>
      </c>
      <c r="Q75" s="68">
        <f t="shared" si="39"/>
        <v>15777.784458333334</v>
      </c>
      <c r="R75" s="235"/>
      <c r="S75" s="213">
        <f t="shared" si="40"/>
        <v>191.16449100000006</v>
      </c>
      <c r="T75" s="214">
        <f t="shared" si="41"/>
        <v>18256.474396737503</v>
      </c>
    </row>
    <row r="76" spans="1:20" s="7" customFormat="1" x14ac:dyDescent="0.25">
      <c r="A76" s="233">
        <f>IF(J76&lt;&gt;"",1+MAX($A$18:A75),"")</f>
        <v>40</v>
      </c>
      <c r="B76" s="54" t="s">
        <v>745</v>
      </c>
      <c r="C76" s="69" t="s">
        <v>744</v>
      </c>
      <c r="D76" s="119" t="s">
        <v>69</v>
      </c>
      <c r="E76" s="285" t="s">
        <v>155</v>
      </c>
      <c r="F76" s="282" t="s">
        <v>776</v>
      </c>
      <c r="G76" s="55">
        <v>1209</v>
      </c>
      <c r="H76" s="56">
        <f>IF(VLOOKUP(J76,'HOURLY RATES'!B$116:C$124,2,0)=0,$J$3,VLOOKUP(J76,'HOURLY RATES'!B$116:C$124,2,0))</f>
        <v>0.05</v>
      </c>
      <c r="I76" s="57">
        <f t="shared" si="35"/>
        <v>1269.45</v>
      </c>
      <c r="J76" s="118" t="s">
        <v>250</v>
      </c>
      <c r="K76" s="61">
        <v>0.01</v>
      </c>
      <c r="L76" s="66">
        <f t="shared" si="36"/>
        <v>12.694500000000001</v>
      </c>
      <c r="M76" s="64">
        <f>IF(VLOOKUP(E76,'HOURLY RATES'!C$6:D$105,2,0)=0,$E$3,VLOOKUP(E76,'HOURLY RATES'!C$6:D$105,2,0))</f>
        <v>65</v>
      </c>
      <c r="N76" s="64">
        <f t="shared" si="37"/>
        <v>825.14250000000004</v>
      </c>
      <c r="O76" s="67">
        <v>0.93400000000000005</v>
      </c>
      <c r="P76" s="67">
        <f t="shared" si="38"/>
        <v>1185.6663000000001</v>
      </c>
      <c r="Q76" s="68">
        <f t="shared" si="39"/>
        <v>2010.8088000000002</v>
      </c>
      <c r="R76" s="235"/>
      <c r="S76" s="213">
        <f>((((N76*(1+$D$7))+(P76*(1+$D$5+$D$6)))*(1+$D$8)))/I76</f>
        <v>1.8792988900000001</v>
      </c>
      <c r="T76" s="214">
        <f>S76*I76</f>
        <v>2385.6759759105003</v>
      </c>
    </row>
    <row r="77" spans="1:20" s="7" customFormat="1" x14ac:dyDescent="0.25">
      <c r="A77" s="233">
        <f>IF(J77&lt;&gt;"",1+MAX($A$18:A76),"")</f>
        <v>41</v>
      </c>
      <c r="B77" s="54" t="s">
        <v>745</v>
      </c>
      <c r="C77" s="69" t="s">
        <v>744</v>
      </c>
      <c r="D77" s="119" t="s">
        <v>69</v>
      </c>
      <c r="E77" s="285" t="s">
        <v>155</v>
      </c>
      <c r="F77" s="282" t="s">
        <v>777</v>
      </c>
      <c r="G77" s="55">
        <v>412</v>
      </c>
      <c r="H77" s="56">
        <f>IF(VLOOKUP(J77,'HOURLY RATES'!B$116:C$124,2,0)=0,$J$3,VLOOKUP(J77,'HOURLY RATES'!B$116:C$124,2,0))</f>
        <v>0.05</v>
      </c>
      <c r="I77" s="57">
        <f t="shared" si="35"/>
        <v>432.6</v>
      </c>
      <c r="J77" s="118" t="s">
        <v>250</v>
      </c>
      <c r="K77" s="61">
        <v>0.01</v>
      </c>
      <c r="L77" s="66">
        <f t="shared" si="36"/>
        <v>4.3260000000000005</v>
      </c>
      <c r="M77" s="64">
        <f>IF(VLOOKUP(E77,'HOURLY RATES'!C$6:D$105,2,0)=0,$E$3,VLOOKUP(E77,'HOURLY RATES'!C$6:D$105,2,0))</f>
        <v>65</v>
      </c>
      <c r="N77" s="64">
        <f t="shared" si="37"/>
        <v>281.19000000000005</v>
      </c>
      <c r="O77" s="67">
        <v>0.93400000000000005</v>
      </c>
      <c r="P77" s="67">
        <f t="shared" si="38"/>
        <v>404.04840000000007</v>
      </c>
      <c r="Q77" s="68">
        <f t="shared" si="39"/>
        <v>685.23840000000018</v>
      </c>
      <c r="R77" s="235"/>
      <c r="S77" s="213">
        <f>((((N77*(1+$D$7))+(P77*(1+$D$5+$D$6)))*(1+$D$8)))/I77</f>
        <v>1.8792988900000003</v>
      </c>
      <c r="T77" s="214">
        <f>S77*I77</f>
        <v>812.98469981400012</v>
      </c>
    </row>
    <row r="78" spans="1:20" s="7" customFormat="1" x14ac:dyDescent="0.25">
      <c r="A78" s="233" t="str">
        <f>IF(J78&lt;&gt;"",1+MAX($A$18:A77),"")</f>
        <v/>
      </c>
      <c r="B78" s="54"/>
      <c r="C78" s="69"/>
      <c r="D78" s="119"/>
      <c r="E78" s="285"/>
      <c r="F78" s="122" t="s">
        <v>245</v>
      </c>
      <c r="G78" s="55"/>
      <c r="H78" s="56"/>
      <c r="I78" s="57"/>
      <c r="J78" s="118"/>
      <c r="K78" s="61"/>
      <c r="L78" s="66"/>
      <c r="M78" s="64"/>
      <c r="N78" s="64"/>
      <c r="O78" s="67"/>
      <c r="P78" s="67"/>
      <c r="Q78" s="68"/>
      <c r="R78" s="235"/>
      <c r="S78" s="213"/>
      <c r="T78" s="214"/>
    </row>
    <row r="79" spans="1:20" s="7" customFormat="1" ht="46.8" x14ac:dyDescent="0.25">
      <c r="A79" s="233">
        <f>IF(J79&lt;&gt;"",1+MAX($A$18:A78),"")</f>
        <v>42</v>
      </c>
      <c r="B79" s="54" t="s">
        <v>745</v>
      </c>
      <c r="C79" s="69" t="s">
        <v>744</v>
      </c>
      <c r="D79" s="119" t="s">
        <v>69</v>
      </c>
      <c r="E79" s="285" t="s">
        <v>155</v>
      </c>
      <c r="F79" s="281" t="s">
        <v>778</v>
      </c>
      <c r="G79" s="123"/>
      <c r="H79" s="124"/>
      <c r="I79" s="125">
        <v>40</v>
      </c>
      <c r="J79" s="126" t="s">
        <v>247</v>
      </c>
      <c r="K79" s="61"/>
      <c r="L79" s="66"/>
      <c r="M79" s="64"/>
      <c r="N79" s="64"/>
      <c r="O79" s="67"/>
      <c r="P79" s="67"/>
      <c r="Q79" s="68"/>
      <c r="R79" s="235"/>
      <c r="S79" s="213"/>
      <c r="T79" s="214"/>
    </row>
    <row r="80" spans="1:20" s="7" customFormat="1" x14ac:dyDescent="0.25">
      <c r="A80" s="233">
        <f>IF(J80&lt;&gt;"",1+MAX($A$18:A79),"")</f>
        <v>43</v>
      </c>
      <c r="B80" s="54" t="s">
        <v>745</v>
      </c>
      <c r="C80" s="69" t="s">
        <v>744</v>
      </c>
      <c r="D80" s="119" t="s">
        <v>69</v>
      </c>
      <c r="E80" s="285" t="s">
        <v>103</v>
      </c>
      <c r="F80" s="280" t="s">
        <v>253</v>
      </c>
      <c r="G80" s="55">
        <f>I79*6*9.5/27</f>
        <v>84.444444444444443</v>
      </c>
      <c r="H80" s="56">
        <f>IF(VLOOKUP(J80,'HOURLY RATES'!B$116:C$124,2,0)=0,$J$3,VLOOKUP(J80,'HOURLY RATES'!B$116:C$124,2,0))</f>
        <v>0.05</v>
      </c>
      <c r="I80" s="57">
        <f t="shared" ref="I80:I86" si="42">(G80*(1+H80))</f>
        <v>88.666666666666671</v>
      </c>
      <c r="J80" s="118" t="s">
        <v>249</v>
      </c>
      <c r="K80" s="61">
        <v>0.38500000000000001</v>
      </c>
      <c r="L80" s="66">
        <f t="shared" ref="L80:L86" si="43">K80*I80</f>
        <v>34.13666666666667</v>
      </c>
      <c r="M80" s="64">
        <f>IF(VLOOKUP(E80,'HOURLY RATES'!C$6:D$105,2,0)=0,$E$3,VLOOKUP(E80,'HOURLY RATES'!C$6:D$105,2,0))</f>
        <v>110.14</v>
      </c>
      <c r="N80" s="64">
        <f t="shared" ref="N80:N86" si="44">M80*L80</f>
        <v>3759.8124666666672</v>
      </c>
      <c r="O80" s="67"/>
      <c r="P80" s="67">
        <f t="shared" ref="P80:P86" si="45">O80*I80</f>
        <v>0</v>
      </c>
      <c r="Q80" s="68">
        <f t="shared" ref="Q80:Q86" si="46">P80+N80</f>
        <v>3759.8124666666672</v>
      </c>
      <c r="R80" s="235"/>
      <c r="S80" s="213">
        <f>((((N80*(1+$D$7))+(P80*(1+$D$5+$D$6)))*(1+$D$8)))/I80</f>
        <v>49.065552690000011</v>
      </c>
      <c r="T80" s="214">
        <f>S80*I80</f>
        <v>4350.479005180001</v>
      </c>
    </row>
    <row r="81" spans="1:20" s="7" customFormat="1" x14ac:dyDescent="0.25">
      <c r="A81" s="233">
        <f>IF(J81&lt;&gt;"",1+MAX($A$18:A80),"")</f>
        <v>44</v>
      </c>
      <c r="B81" s="54" t="s">
        <v>745</v>
      </c>
      <c r="C81" s="69" t="s">
        <v>744</v>
      </c>
      <c r="D81" s="119" t="s">
        <v>69</v>
      </c>
      <c r="E81" s="285" t="s">
        <v>155</v>
      </c>
      <c r="F81" s="280" t="s">
        <v>752</v>
      </c>
      <c r="G81" s="55">
        <f>(5*1*I79)/27</f>
        <v>7.4074074074074074</v>
      </c>
      <c r="H81" s="56">
        <f>IF(VLOOKUP(J81,'HOURLY RATES'!B$116:C$124,2,0)=0,$J$3,VLOOKUP(J81,'HOURLY RATES'!B$116:C$124,2,0))</f>
        <v>0.05</v>
      </c>
      <c r="I81" s="57">
        <f t="shared" si="42"/>
        <v>7.7777777777777786</v>
      </c>
      <c r="J81" s="118" t="s">
        <v>249</v>
      </c>
      <c r="K81" s="61">
        <v>2.5</v>
      </c>
      <c r="L81" s="66">
        <f t="shared" si="43"/>
        <v>19.444444444444446</v>
      </c>
      <c r="M81" s="64">
        <f>IF(VLOOKUP(E81,'HOURLY RATES'!C$6:D$105,2,0)=0,$E$3,VLOOKUP(E81,'HOURLY RATES'!C$6:D$105,2,0))</f>
        <v>65</v>
      </c>
      <c r="N81" s="64">
        <f t="shared" si="44"/>
        <v>1263.8888888888889</v>
      </c>
      <c r="O81" s="67">
        <v>232.3</v>
      </c>
      <c r="P81" s="67">
        <f t="shared" si="45"/>
        <v>1806.7777777777781</v>
      </c>
      <c r="Q81" s="68">
        <f t="shared" si="46"/>
        <v>3070.666666666667</v>
      </c>
      <c r="R81" s="235"/>
      <c r="S81" s="213">
        <f>((((N81*(1+$D$7))+(P81*(1+$D$5+$D$6)))*(1+$D$8)))/I81</f>
        <v>468.37652049999997</v>
      </c>
      <c r="T81" s="214">
        <f>S81*I81</f>
        <v>3642.928492777778</v>
      </c>
    </row>
    <row r="82" spans="1:20" s="7" customFormat="1" x14ac:dyDescent="0.25">
      <c r="A82" s="233">
        <f>IF(J82&lt;&gt;"",1+MAX($A$18:A81),"")</f>
        <v>45</v>
      </c>
      <c r="B82" s="54" t="s">
        <v>745</v>
      </c>
      <c r="C82" s="69" t="s">
        <v>744</v>
      </c>
      <c r="D82" s="119" t="s">
        <v>69</v>
      </c>
      <c r="E82" s="285" t="s">
        <v>155</v>
      </c>
      <c r="F82" s="280" t="s">
        <v>743</v>
      </c>
      <c r="G82" s="55">
        <f>(1*I79)*2</f>
        <v>80</v>
      </c>
      <c r="H82" s="56">
        <f>IF(VLOOKUP(J82,'HOURLY RATES'!B$116:C$124,2,0)=0,$J$3,VLOOKUP(J82,'HOURLY RATES'!B$116:C$124,2,0))</f>
        <v>0.05</v>
      </c>
      <c r="I82" s="57">
        <f t="shared" si="42"/>
        <v>84</v>
      </c>
      <c r="J82" s="118" t="s">
        <v>246</v>
      </c>
      <c r="K82" s="61">
        <v>0.06</v>
      </c>
      <c r="L82" s="66">
        <f t="shared" si="43"/>
        <v>5.04</v>
      </c>
      <c r="M82" s="64">
        <f>IF(VLOOKUP(E82,'HOURLY RATES'!C$6:D$105,2,0)=0,$E$3,VLOOKUP(E82,'HOURLY RATES'!C$6:D$105,2,0))</f>
        <v>65</v>
      </c>
      <c r="N82" s="64">
        <f t="shared" si="44"/>
        <v>327.60000000000002</v>
      </c>
      <c r="O82" s="67">
        <v>1.7230000000000001</v>
      </c>
      <c r="P82" s="67">
        <f t="shared" si="45"/>
        <v>144.732</v>
      </c>
      <c r="Q82" s="68">
        <f t="shared" si="46"/>
        <v>472.33199999999999</v>
      </c>
      <c r="R82" s="235"/>
      <c r="S82" s="213">
        <f>((((N82*(1+$D$7))+(P82*(1+$D$5+$D$6)))*(1+$D$8)))/I82</f>
        <v>6.5920667050000006</v>
      </c>
      <c r="T82" s="214">
        <f>S82*I82</f>
        <v>553.73360322000008</v>
      </c>
    </row>
    <row r="83" spans="1:20" s="7" customFormat="1" x14ac:dyDescent="0.25">
      <c r="A83" s="233">
        <f>IF(J83&lt;&gt;"",1+MAX($A$18:A82),"")</f>
        <v>46</v>
      </c>
      <c r="B83" s="54" t="s">
        <v>745</v>
      </c>
      <c r="C83" s="69" t="s">
        <v>744</v>
      </c>
      <c r="D83" s="119" t="s">
        <v>46</v>
      </c>
      <c r="E83" s="285" t="s">
        <v>103</v>
      </c>
      <c r="F83" s="278" t="s">
        <v>751</v>
      </c>
      <c r="G83" s="55">
        <f>2*7*I79/27</f>
        <v>20.74074074074074</v>
      </c>
      <c r="H83" s="56">
        <f>IF(VLOOKUP(J83,'HOURLY RATES'!B$116:C$124,2,0)=0,$J$3,VLOOKUP(J83,'HOURLY RATES'!B$116:C$124,2,0))</f>
        <v>0.05</v>
      </c>
      <c r="I83" s="57">
        <f t="shared" si="42"/>
        <v>21.777777777777779</v>
      </c>
      <c r="J83" s="118" t="s">
        <v>249</v>
      </c>
      <c r="K83" s="61">
        <v>1.4430000000000001</v>
      </c>
      <c r="L83" s="66">
        <f t="shared" si="43"/>
        <v>31.425333333333334</v>
      </c>
      <c r="M83" s="64">
        <f>IF(VLOOKUP(E83,'HOURLY RATES'!C$6:D$105,2,0)=0,$E$3,VLOOKUP(E83,'HOURLY RATES'!C$6:D$105,2,0))</f>
        <v>110.14</v>
      </c>
      <c r="N83" s="64">
        <f t="shared" si="44"/>
        <v>3461.1862133333334</v>
      </c>
      <c r="O83" s="67"/>
      <c r="P83" s="67">
        <f t="shared" si="45"/>
        <v>0</v>
      </c>
      <c r="Q83" s="68">
        <f t="shared" si="46"/>
        <v>3461.1862133333334</v>
      </c>
      <c r="R83" s="235"/>
      <c r="S83" s="213">
        <f t="shared" ref="S83:S84" si="47">((((N83*(1+$D$7))+(P83*(1+$D$5+$D$6)))*(1+$D$8)))/I83</f>
        <v>183.90024034199999</v>
      </c>
      <c r="T83" s="214">
        <f t="shared" ref="T83:T84" si="48">S83*I83</f>
        <v>4004.938567448</v>
      </c>
    </row>
    <row r="84" spans="1:20" s="7" customFormat="1" x14ac:dyDescent="0.25">
      <c r="A84" s="233">
        <f>IF(J84&lt;&gt;"",1+MAX($A$18:A83),"")</f>
        <v>47</v>
      </c>
      <c r="B84" s="54" t="s">
        <v>745</v>
      </c>
      <c r="C84" s="69" t="s">
        <v>744</v>
      </c>
      <c r="D84" s="119" t="s">
        <v>46</v>
      </c>
      <c r="E84" s="285" t="s">
        <v>103</v>
      </c>
      <c r="F84" s="278" t="s">
        <v>750</v>
      </c>
      <c r="G84" s="55">
        <f>G80-G83</f>
        <v>63.703703703703702</v>
      </c>
      <c r="H84" s="56">
        <f>IF(VLOOKUP(J84,'HOURLY RATES'!B$116:C$124,2,0)=0,$J$3,VLOOKUP(J84,'HOURLY RATES'!B$116:C$124,2,0))</f>
        <v>0.05</v>
      </c>
      <c r="I84" s="57">
        <f t="shared" si="42"/>
        <v>66.888888888888886</v>
      </c>
      <c r="J84" s="118" t="s">
        <v>249</v>
      </c>
      <c r="K84" s="61">
        <v>1.5</v>
      </c>
      <c r="L84" s="66">
        <f t="shared" si="43"/>
        <v>100.33333333333333</v>
      </c>
      <c r="M84" s="64">
        <f>IF(VLOOKUP(E84,'HOURLY RATES'!C$6:D$105,2,0)=0,$E$3,VLOOKUP(E84,'HOURLY RATES'!C$6:D$105,2,0))</f>
        <v>110.14</v>
      </c>
      <c r="N84" s="64">
        <f t="shared" si="44"/>
        <v>11050.713333333333</v>
      </c>
      <c r="O84" s="67"/>
      <c r="P84" s="67">
        <f t="shared" si="45"/>
        <v>0</v>
      </c>
      <c r="Q84" s="68">
        <f t="shared" si="46"/>
        <v>11050.713333333333</v>
      </c>
      <c r="R84" s="235"/>
      <c r="S84" s="213">
        <f t="shared" si="47"/>
        <v>191.164491</v>
      </c>
      <c r="T84" s="214">
        <f t="shared" si="48"/>
        <v>12786.780397999999</v>
      </c>
    </row>
    <row r="85" spans="1:20" s="7" customFormat="1" x14ac:dyDescent="0.25">
      <c r="A85" s="233">
        <f>IF(J85&lt;&gt;"",1+MAX($A$18:A84),"")</f>
        <v>48</v>
      </c>
      <c r="B85" s="54" t="s">
        <v>745</v>
      </c>
      <c r="C85" s="69" t="s">
        <v>744</v>
      </c>
      <c r="D85" s="119" t="s">
        <v>69</v>
      </c>
      <c r="E85" s="285" t="s">
        <v>155</v>
      </c>
      <c r="F85" s="282" t="s">
        <v>779</v>
      </c>
      <c r="G85" s="55">
        <v>465</v>
      </c>
      <c r="H85" s="56">
        <f>IF(VLOOKUP(J85,'HOURLY RATES'!B$116:C$124,2,0)=0,$J$3,VLOOKUP(J85,'HOURLY RATES'!B$116:C$124,2,0))</f>
        <v>0.05</v>
      </c>
      <c r="I85" s="57">
        <f t="shared" si="42"/>
        <v>488.25</v>
      </c>
      <c r="J85" s="118" t="s">
        <v>250</v>
      </c>
      <c r="K85" s="61">
        <v>0.01</v>
      </c>
      <c r="L85" s="66">
        <f t="shared" si="43"/>
        <v>4.8825000000000003</v>
      </c>
      <c r="M85" s="64">
        <f>IF(VLOOKUP(E85,'HOURLY RATES'!C$6:D$105,2,0)=0,$E$3,VLOOKUP(E85,'HOURLY RATES'!C$6:D$105,2,0))</f>
        <v>65</v>
      </c>
      <c r="N85" s="64">
        <f t="shared" si="44"/>
        <v>317.36250000000001</v>
      </c>
      <c r="O85" s="67">
        <v>0.93400000000000005</v>
      </c>
      <c r="P85" s="67">
        <f t="shared" si="45"/>
        <v>456.02550000000002</v>
      </c>
      <c r="Q85" s="68">
        <f t="shared" si="46"/>
        <v>773.38800000000003</v>
      </c>
      <c r="R85" s="235"/>
      <c r="S85" s="213">
        <f>((((N85*(1+$D$7))+(P85*(1+$D$5+$D$6)))*(1+$D$8)))/I85</f>
        <v>1.8792988900000003</v>
      </c>
      <c r="T85" s="214">
        <f>S85*I85</f>
        <v>917.56768304250011</v>
      </c>
    </row>
    <row r="86" spans="1:20" s="7" customFormat="1" x14ac:dyDescent="0.25">
      <c r="A86" s="233">
        <f>IF(J86&lt;&gt;"",1+MAX($A$18:A85),"")</f>
        <v>49</v>
      </c>
      <c r="B86" s="54" t="s">
        <v>745</v>
      </c>
      <c r="C86" s="69" t="s">
        <v>744</v>
      </c>
      <c r="D86" s="119" t="s">
        <v>69</v>
      </c>
      <c r="E86" s="285" t="s">
        <v>155</v>
      </c>
      <c r="F86" s="282" t="s">
        <v>780</v>
      </c>
      <c r="G86" s="55">
        <v>160</v>
      </c>
      <c r="H86" s="56">
        <f>IF(VLOOKUP(J86,'HOURLY RATES'!B$116:C$124,2,0)=0,$J$3,VLOOKUP(J86,'HOURLY RATES'!B$116:C$124,2,0))</f>
        <v>0.05</v>
      </c>
      <c r="I86" s="57">
        <f t="shared" si="42"/>
        <v>168</v>
      </c>
      <c r="J86" s="118" t="s">
        <v>250</v>
      </c>
      <c r="K86" s="61">
        <v>0.01</v>
      </c>
      <c r="L86" s="66">
        <f t="shared" si="43"/>
        <v>1.68</v>
      </c>
      <c r="M86" s="64">
        <f>IF(VLOOKUP(E86,'HOURLY RATES'!C$6:D$105,2,0)=0,$E$3,VLOOKUP(E86,'HOURLY RATES'!C$6:D$105,2,0))</f>
        <v>65</v>
      </c>
      <c r="N86" s="64">
        <f t="shared" si="44"/>
        <v>109.2</v>
      </c>
      <c r="O86" s="67">
        <v>0.93400000000000005</v>
      </c>
      <c r="P86" s="67">
        <f t="shared" si="45"/>
        <v>156.91200000000001</v>
      </c>
      <c r="Q86" s="68">
        <f t="shared" si="46"/>
        <v>266.11200000000002</v>
      </c>
      <c r="R86" s="235"/>
      <c r="S86" s="213">
        <f>((((N86*(1+$D$7))+(P86*(1+$D$5+$D$6)))*(1+$D$8)))/I86</f>
        <v>1.8792988899999998</v>
      </c>
      <c r="T86" s="214">
        <f>S86*I86</f>
        <v>315.72221351999997</v>
      </c>
    </row>
    <row r="87" spans="1:20" s="7" customFormat="1" x14ac:dyDescent="0.25">
      <c r="A87" s="233" t="str">
        <f>IF(J87&lt;&gt;"",1+MAX($A$18:A86),"")</f>
        <v/>
      </c>
      <c r="B87" s="54"/>
      <c r="C87" s="69"/>
      <c r="D87" s="119"/>
      <c r="E87" s="285"/>
      <c r="F87" s="122" t="s">
        <v>245</v>
      </c>
      <c r="G87" s="55"/>
      <c r="H87" s="56"/>
      <c r="I87" s="57"/>
      <c r="J87" s="118"/>
      <c r="K87" s="61"/>
      <c r="L87" s="66"/>
      <c r="M87" s="64"/>
      <c r="N87" s="64"/>
      <c r="O87" s="67"/>
      <c r="P87" s="67"/>
      <c r="Q87" s="68"/>
      <c r="R87" s="235"/>
      <c r="S87" s="213"/>
      <c r="T87" s="214"/>
    </row>
    <row r="88" spans="1:20" s="7" customFormat="1" x14ac:dyDescent="0.25">
      <c r="A88" s="233" t="str">
        <f>IF(J88&lt;&gt;"",1+MAX($A$18:A87),"")</f>
        <v/>
      </c>
      <c r="B88" s="54"/>
      <c r="C88" s="69"/>
      <c r="D88" s="119"/>
      <c r="E88" s="285"/>
      <c r="F88" s="279" t="s">
        <v>746</v>
      </c>
      <c r="G88" s="55"/>
      <c r="H88" s="56"/>
      <c r="I88" s="57"/>
      <c r="J88" s="118"/>
      <c r="K88" s="61"/>
      <c r="L88" s="66"/>
      <c r="M88" s="64"/>
      <c r="N88" s="64"/>
      <c r="O88" s="67"/>
      <c r="P88" s="67"/>
      <c r="Q88" s="68"/>
      <c r="R88" s="235"/>
      <c r="S88" s="213"/>
      <c r="T88" s="214"/>
    </row>
    <row r="89" spans="1:20" s="7" customFormat="1" x14ac:dyDescent="0.25">
      <c r="A89" s="233">
        <f>IF(J89&lt;&gt;"",1+MAX($A$18:A88),"")</f>
        <v>50</v>
      </c>
      <c r="B89" s="54"/>
      <c r="C89" s="69"/>
      <c r="D89" s="119" t="s">
        <v>69</v>
      </c>
      <c r="E89" s="285" t="s">
        <v>155</v>
      </c>
      <c r="F89" s="281" t="s">
        <v>757</v>
      </c>
      <c r="G89" s="123"/>
      <c r="H89" s="124"/>
      <c r="I89" s="125">
        <v>115</v>
      </c>
      <c r="J89" s="126" t="s">
        <v>247</v>
      </c>
      <c r="K89" s="61"/>
      <c r="L89" s="66"/>
      <c r="M89" s="64"/>
      <c r="N89" s="64"/>
      <c r="O89" s="67"/>
      <c r="P89" s="67"/>
      <c r="Q89" s="68"/>
      <c r="R89" s="235"/>
      <c r="S89" s="213"/>
      <c r="T89" s="214"/>
    </row>
    <row r="90" spans="1:20" s="7" customFormat="1" ht="31.2" x14ac:dyDescent="0.25">
      <c r="A90" s="233">
        <f>IF(J90&lt;&gt;"",1+MAX($A$18:A89),"")</f>
        <v>51</v>
      </c>
      <c r="B90" s="54"/>
      <c r="C90" s="69"/>
      <c r="D90" s="119" t="s">
        <v>69</v>
      </c>
      <c r="E90" s="285" t="s">
        <v>155</v>
      </c>
      <c r="F90" s="280" t="s">
        <v>787</v>
      </c>
      <c r="G90" s="55">
        <f>I89*6.33</f>
        <v>727.95</v>
      </c>
      <c r="H90" s="56">
        <f>IF(VLOOKUP(J90,'HOURLY RATES'!B$116:C$124,2,0)=0,$J$3,VLOOKUP(J90,'HOURLY RATES'!B$116:C$124,2,0))</f>
        <v>0.05</v>
      </c>
      <c r="I90" s="57">
        <f t="shared" ref="I90" si="49">(G90*(1+H90))</f>
        <v>764.34750000000008</v>
      </c>
      <c r="J90" s="118" t="s">
        <v>246</v>
      </c>
      <c r="K90" s="61">
        <v>0.25700000000000001</v>
      </c>
      <c r="L90" s="66">
        <f t="shared" ref="L90" si="50">K90*I90</f>
        <v>196.43730750000003</v>
      </c>
      <c r="M90" s="64">
        <f>IF(VLOOKUP(E90,'HOURLY RATES'!C$6:D$105,2,0)=0,$E$3,VLOOKUP(E90,'HOURLY RATES'!C$6:D$105,2,0))</f>
        <v>65</v>
      </c>
      <c r="N90" s="64">
        <f t="shared" ref="N90" si="51">M90*L90</f>
        <v>12768.424987500002</v>
      </c>
      <c r="O90" s="67">
        <v>17.66</v>
      </c>
      <c r="P90" s="67">
        <f t="shared" ref="P90" si="52">O90*I90</f>
        <v>13498.376850000002</v>
      </c>
      <c r="Q90" s="68">
        <f t="shared" ref="Q90" si="53">P90+N90</f>
        <v>26266.801837500003</v>
      </c>
      <c r="R90" s="235"/>
      <c r="S90" s="213">
        <f t="shared" ref="S90" si="54">((((N90*(1+$D$7))+(P90*(1+$D$5+$D$6)))*(1+$D$8)))/I90</f>
        <v>40.642061599999998</v>
      </c>
      <c r="T90" s="214">
        <f t="shared" ref="T90" si="55">S90*I90</f>
        <v>31064.658178806003</v>
      </c>
    </row>
    <row r="91" spans="1:20" s="7" customFormat="1" x14ac:dyDescent="0.25">
      <c r="A91" s="233" t="str">
        <f>IF(J91&lt;&gt;"",1+MAX($A$18:A90),"")</f>
        <v/>
      </c>
      <c r="B91" s="54"/>
      <c r="C91" s="69"/>
      <c r="D91" s="119"/>
      <c r="E91" s="285"/>
      <c r="F91" s="122" t="s">
        <v>245</v>
      </c>
      <c r="G91" s="55"/>
      <c r="H91" s="56"/>
      <c r="I91" s="57"/>
      <c r="J91" s="118"/>
      <c r="K91" s="61"/>
      <c r="L91" s="66"/>
      <c r="M91" s="64"/>
      <c r="N91" s="64"/>
      <c r="O91" s="67"/>
      <c r="P91" s="67"/>
      <c r="Q91" s="68"/>
      <c r="R91" s="235"/>
      <c r="S91" s="213"/>
      <c r="T91" s="214"/>
    </row>
    <row r="92" spans="1:20" s="7" customFormat="1" ht="31.2" x14ac:dyDescent="0.25">
      <c r="A92" s="233">
        <f>IF(J92&lt;&gt;"",1+MAX($A$18:A91),"")</f>
        <v>52</v>
      </c>
      <c r="B92" s="54"/>
      <c r="C92" s="69"/>
      <c r="D92" s="119" t="s">
        <v>69</v>
      </c>
      <c r="E92" s="285" t="s">
        <v>155</v>
      </c>
      <c r="F92" s="281" t="s">
        <v>788</v>
      </c>
      <c r="G92" s="123"/>
      <c r="H92" s="124"/>
      <c r="I92" s="125">
        <v>115</v>
      </c>
      <c r="J92" s="126" t="s">
        <v>247</v>
      </c>
      <c r="K92" s="61"/>
      <c r="L92" s="66"/>
      <c r="M92" s="64"/>
      <c r="N92" s="64"/>
      <c r="O92" s="67"/>
      <c r="P92" s="67"/>
      <c r="Q92" s="68"/>
      <c r="R92" s="235"/>
      <c r="S92" s="213"/>
      <c r="T92" s="214"/>
    </row>
    <row r="93" spans="1:20" s="7" customFormat="1" x14ac:dyDescent="0.25">
      <c r="A93" s="233">
        <f>IF(J93&lt;&gt;"",1+MAX($A$18:A92),"")</f>
        <v>53</v>
      </c>
      <c r="B93" s="54"/>
      <c r="C93" s="69"/>
      <c r="D93" s="119" t="s">
        <v>69</v>
      </c>
      <c r="E93" s="285" t="s">
        <v>155</v>
      </c>
      <c r="F93" s="280" t="s">
        <v>789</v>
      </c>
      <c r="G93" s="55">
        <f>I92*8.5</f>
        <v>977.5</v>
      </c>
      <c r="H93" s="56">
        <f>IF(VLOOKUP(J93,'HOURLY RATES'!B$116:C$124,2,0)=0,$J$3,VLOOKUP(J93,'HOURLY RATES'!B$116:C$124,2,0))</f>
        <v>0.05</v>
      </c>
      <c r="I93" s="57">
        <f t="shared" ref="I93" si="56">(G93*(1+H93))</f>
        <v>1026.375</v>
      </c>
      <c r="J93" s="118" t="s">
        <v>246</v>
      </c>
      <c r="K93" s="61">
        <v>0.25700000000000001</v>
      </c>
      <c r="L93" s="66">
        <f t="shared" ref="L93" si="57">K93*I93</f>
        <v>263.77837499999998</v>
      </c>
      <c r="M93" s="64">
        <f>IF(VLOOKUP(E93,'HOURLY RATES'!C$6:D$105,2,0)=0,$E$3,VLOOKUP(E93,'HOURLY RATES'!C$6:D$105,2,0))</f>
        <v>65</v>
      </c>
      <c r="N93" s="64">
        <f t="shared" ref="N93" si="58">M93*L93</f>
        <v>17145.594375000001</v>
      </c>
      <c r="O93" s="67">
        <v>17.66</v>
      </c>
      <c r="P93" s="67">
        <f t="shared" ref="P93" si="59">O93*I93</f>
        <v>18125.782500000001</v>
      </c>
      <c r="Q93" s="68">
        <f t="shared" ref="Q93" si="60">P93+N93</f>
        <v>35271.376875000002</v>
      </c>
      <c r="R93" s="235"/>
      <c r="S93" s="213">
        <f t="shared" ref="S93" si="61">((((N93*(1+$D$7))+(P93*(1+$D$5+$D$6)))*(1+$D$8)))/I93</f>
        <v>40.642061600000005</v>
      </c>
      <c r="T93" s="214">
        <f t="shared" ref="T93" si="62">S93*I93</f>
        <v>41713.995974700003</v>
      </c>
    </row>
    <row r="94" spans="1:20" s="7" customFormat="1" ht="31.2" x14ac:dyDescent="0.25">
      <c r="A94" s="233" t="str">
        <f>IF(J94&lt;&gt;"",1+MAX($A$18:A93),"")</f>
        <v/>
      </c>
      <c r="B94" s="54"/>
      <c r="C94" s="69"/>
      <c r="D94" s="119"/>
      <c r="E94" s="285"/>
      <c r="F94" s="303" t="s">
        <v>790</v>
      </c>
      <c r="G94" s="55"/>
      <c r="H94" s="56"/>
      <c r="I94" s="57"/>
      <c r="J94" s="118"/>
      <c r="K94" s="61"/>
      <c r="L94" s="66"/>
      <c r="M94" s="64"/>
      <c r="N94" s="64"/>
      <c r="O94" s="67"/>
      <c r="P94" s="67"/>
      <c r="Q94" s="68"/>
      <c r="R94" s="235"/>
      <c r="S94" s="213"/>
      <c r="T94" s="214"/>
    </row>
    <row r="95" spans="1:20" s="7" customFormat="1" x14ac:dyDescent="0.25">
      <c r="A95" s="233" t="str">
        <f>IF(J95&lt;&gt;"",1+MAX($A$18:A94),"")</f>
        <v/>
      </c>
      <c r="B95" s="54"/>
      <c r="C95" s="69"/>
      <c r="D95" s="119"/>
      <c r="E95" s="285"/>
      <c r="F95" s="278" t="s">
        <v>245</v>
      </c>
      <c r="G95" s="55"/>
      <c r="H95" s="56"/>
      <c r="I95" s="57"/>
      <c r="J95" s="118"/>
      <c r="K95" s="61"/>
      <c r="L95" s="66"/>
      <c r="M95" s="64"/>
      <c r="N95" s="64"/>
      <c r="O95" s="67"/>
      <c r="P95" s="67"/>
      <c r="Q95" s="68"/>
      <c r="R95" s="276"/>
      <c r="S95" s="213"/>
      <c r="T95" s="214"/>
    </row>
    <row r="96" spans="1:20" s="7" customFormat="1" x14ac:dyDescent="0.25">
      <c r="A96" s="297" t="str">
        <f>IF(J96&lt;&gt;"",1+MAX($A$18:A95),"")</f>
        <v/>
      </c>
      <c r="B96" s="297"/>
      <c r="C96" s="297"/>
      <c r="D96" s="297" t="s">
        <v>71</v>
      </c>
      <c r="E96" s="298"/>
      <c r="F96" s="299" t="s">
        <v>72</v>
      </c>
      <c r="G96" s="300"/>
      <c r="H96" s="299"/>
      <c r="I96" s="301"/>
      <c r="J96" s="301"/>
      <c r="K96" s="299"/>
      <c r="L96" s="299"/>
      <c r="M96" s="299"/>
      <c r="N96" s="299"/>
      <c r="O96" s="299"/>
      <c r="P96" s="299"/>
      <c r="Q96" s="299"/>
      <c r="R96" s="302">
        <f>SUM(Q97:Q100)</f>
        <v>7728.2129357999993</v>
      </c>
      <c r="S96" s="213"/>
      <c r="T96" s="214"/>
    </row>
    <row r="97" spans="1:22" s="7" customFormat="1" x14ac:dyDescent="0.25">
      <c r="A97" s="233" t="str">
        <f>IF(J97&lt;&gt;"",1+MAX($A$18:A96),"")</f>
        <v/>
      </c>
      <c r="B97" s="54"/>
      <c r="C97" s="69"/>
      <c r="D97" s="119"/>
      <c r="E97" s="285"/>
      <c r="F97" s="280" t="s">
        <v>245</v>
      </c>
      <c r="G97" s="55"/>
      <c r="H97" s="56"/>
      <c r="I97" s="57"/>
      <c r="J97" s="118"/>
      <c r="K97" s="61"/>
      <c r="L97" s="66"/>
      <c r="M97" s="64"/>
      <c r="N97" s="64"/>
      <c r="O97" s="67"/>
      <c r="P97" s="67"/>
      <c r="Q97" s="68"/>
      <c r="R97" s="235"/>
      <c r="S97" s="213"/>
      <c r="T97" s="214"/>
    </row>
    <row r="98" spans="1:22" s="7" customFormat="1" x14ac:dyDescent="0.25">
      <c r="A98" s="233" t="str">
        <f>IF(J98&lt;&gt;"",1+MAX($A$18:A97),"")</f>
        <v/>
      </c>
      <c r="B98" s="54"/>
      <c r="C98" s="69"/>
      <c r="D98" s="119"/>
      <c r="E98" s="285"/>
      <c r="F98" s="279" t="s">
        <v>256</v>
      </c>
      <c r="G98" s="55"/>
      <c r="H98" s="56"/>
      <c r="I98" s="57"/>
      <c r="J98" s="118"/>
      <c r="K98" s="61"/>
      <c r="L98" s="66"/>
      <c r="M98" s="64"/>
      <c r="N98" s="64"/>
      <c r="O98" s="67"/>
      <c r="P98" s="67"/>
      <c r="Q98" s="68"/>
      <c r="R98" s="235"/>
      <c r="S98" s="213"/>
      <c r="T98" s="214"/>
    </row>
    <row r="99" spans="1:22" s="7" customFormat="1" x14ac:dyDescent="0.25">
      <c r="A99" s="233">
        <f>IF(J99&lt;&gt;"",1+MAX($A$18:A98),"")</f>
        <v>54</v>
      </c>
      <c r="B99" s="54" t="s">
        <v>745</v>
      </c>
      <c r="C99" s="69" t="s">
        <v>744</v>
      </c>
      <c r="D99" s="119" t="s">
        <v>71</v>
      </c>
      <c r="E99" s="285" t="s">
        <v>72</v>
      </c>
      <c r="F99" s="280" t="s">
        <v>786</v>
      </c>
      <c r="G99" s="55">
        <v>158</v>
      </c>
      <c r="H99" s="56">
        <f>IF(VLOOKUP(J99,'HOURLY RATES'!B$116:C$124,2,0)=0,$J$3,VLOOKUP(J99,'HOURLY RATES'!B$116:C$124,2,0))</f>
        <v>0.05</v>
      </c>
      <c r="I99" s="57">
        <f t="shared" ref="I99" si="63">(G99*(1+H99))</f>
        <v>165.9</v>
      </c>
      <c r="J99" s="118" t="s">
        <v>247</v>
      </c>
      <c r="K99" s="61">
        <v>0.13339999999999999</v>
      </c>
      <c r="L99" s="66">
        <f t="shared" ref="L99" si="64">K99*I99</f>
        <v>22.131059999999998</v>
      </c>
      <c r="M99" s="64">
        <f>IF(VLOOKUP(E99,'HOURLY RATES'!C$6:D$105,2,0)=0,$E$3,VLOOKUP(E99,'HOURLY RATES'!C$6:D$105,2,0))</f>
        <v>73.430000000000007</v>
      </c>
      <c r="N99" s="64">
        <f t="shared" ref="N99" si="65">M99*L99</f>
        <v>1625.0837358000001</v>
      </c>
      <c r="O99" s="67">
        <v>36.787999999999997</v>
      </c>
      <c r="P99" s="67">
        <f t="shared" ref="P99" si="66">O99*I99</f>
        <v>6103.1291999999994</v>
      </c>
      <c r="Q99" s="68">
        <f t="shared" ref="Q99" si="67">P99+N99</f>
        <v>7728.2129357999993</v>
      </c>
      <c r="R99" s="235"/>
      <c r="S99" s="213">
        <f t="shared" ref="S99" si="68">((((N99*(1+$D$7))+(P99*(1+$D$5+$D$6)))*(1+$D$8)))/I99</f>
        <v>55.73149077019999</v>
      </c>
      <c r="T99" s="214">
        <f t="shared" ref="T99" si="69">S99*I99</f>
        <v>9245.8543187761788</v>
      </c>
    </row>
    <row r="100" spans="1:22" s="7" customFormat="1" x14ac:dyDescent="0.25">
      <c r="A100" s="286" t="str">
        <f>IF(J100&lt;&gt;"",1+MAX($A$18:A99),"")</f>
        <v/>
      </c>
      <c r="B100" s="79"/>
      <c r="C100" s="79"/>
      <c r="D100" s="120"/>
      <c r="E100" s="287"/>
      <c r="F100" s="283" t="s">
        <v>245</v>
      </c>
      <c r="G100" s="80"/>
      <c r="H100" s="81"/>
      <c r="I100" s="82"/>
      <c r="J100" s="121"/>
      <c r="K100" s="87"/>
      <c r="L100" s="83"/>
      <c r="M100" s="84"/>
      <c r="N100" s="84"/>
      <c r="O100" s="85"/>
      <c r="P100" s="85"/>
      <c r="Q100" s="86"/>
      <c r="R100" s="235"/>
      <c r="S100" s="213"/>
      <c r="T100" s="214"/>
    </row>
    <row r="101" spans="1:22" s="7" customFormat="1" x14ac:dyDescent="0.25">
      <c r="A101" s="319" t="s">
        <v>73</v>
      </c>
      <c r="B101" s="319"/>
      <c r="C101" s="322"/>
      <c r="D101" s="323"/>
      <c r="E101" s="323"/>
      <c r="F101" s="323"/>
      <c r="G101" s="323"/>
      <c r="H101" s="323"/>
      <c r="I101" s="324"/>
      <c r="J101" s="289"/>
      <c r="K101" s="290" t="s">
        <v>257</v>
      </c>
      <c r="L101" s="291">
        <f>SUM(L18:L100)</f>
        <v>1324.7243061925544</v>
      </c>
      <c r="M101" s="288" t="s">
        <v>258</v>
      </c>
      <c r="N101" s="292">
        <f>SUM(N18:N100)</f>
        <v>106007.47227915646</v>
      </c>
      <c r="O101" s="288" t="s">
        <v>259</v>
      </c>
      <c r="P101" s="292">
        <f>SUM(P18:P100)</f>
        <v>46751.238527777779</v>
      </c>
      <c r="Q101" s="293">
        <f>SUM(Q18:Q100)</f>
        <v>152758.71080693419</v>
      </c>
      <c r="R101" s="293">
        <f>SUM(R18:R100)</f>
        <v>152758.71080693422</v>
      </c>
      <c r="S101" s="215"/>
      <c r="T101" s="216">
        <f>SUM(T18:T100)</f>
        <v>179082.2771228826</v>
      </c>
      <c r="U101" s="1"/>
      <c r="V101" s="1"/>
    </row>
    <row r="102" spans="1:22" s="7" customFormat="1" ht="16.2" thickBot="1" x14ac:dyDescent="0.3">
      <c r="A102" s="320" t="s">
        <v>74</v>
      </c>
      <c r="B102" s="321"/>
      <c r="C102" s="41"/>
      <c r="D102" s="41"/>
      <c r="E102" s="42"/>
      <c r="F102" s="43"/>
      <c r="G102" s="44"/>
      <c r="H102" s="44"/>
      <c r="I102" s="44"/>
      <c r="J102" s="41"/>
      <c r="K102" s="41"/>
      <c r="L102" s="41"/>
      <c r="M102" s="88">
        <f>D5</f>
        <v>8.8999999999999996E-2</v>
      </c>
      <c r="N102" s="89"/>
      <c r="O102" s="89"/>
      <c r="P102" s="89">
        <f>P101*M102</f>
        <v>4160.8602289722221</v>
      </c>
      <c r="Q102" s="89">
        <f>P102+N102</f>
        <v>4160.8602289722221</v>
      </c>
      <c r="R102" s="236">
        <f>Q102</f>
        <v>4160.8602289722221</v>
      </c>
      <c r="S102" s="215"/>
      <c r="T102" s="215"/>
      <c r="U102" s="1"/>
      <c r="V102" s="1"/>
    </row>
    <row r="103" spans="1:22" s="7" customFormat="1" ht="16.8" thickTop="1" thickBot="1" x14ac:dyDescent="0.3">
      <c r="A103" s="237" t="s">
        <v>260</v>
      </c>
      <c r="B103" s="51"/>
      <c r="C103" s="45"/>
      <c r="D103" s="45"/>
      <c r="E103" s="46"/>
      <c r="F103" s="47"/>
      <c r="G103" s="48"/>
      <c r="H103" s="48"/>
      <c r="I103" s="48"/>
      <c r="J103" s="45"/>
      <c r="K103" s="45"/>
      <c r="L103" s="45"/>
      <c r="M103" s="52">
        <f>D6</f>
        <v>0.1</v>
      </c>
      <c r="N103" s="50"/>
      <c r="O103" s="50"/>
      <c r="P103" s="50">
        <f>P101*M103</f>
        <v>4675.1238527777778</v>
      </c>
      <c r="Q103" s="50">
        <f>P103+N103</f>
        <v>4675.1238527777778</v>
      </c>
      <c r="R103" s="238">
        <f>Q103</f>
        <v>4675.1238527777778</v>
      </c>
      <c r="S103" s="215"/>
      <c r="T103" s="215"/>
      <c r="U103" s="1"/>
      <c r="V103" s="1"/>
    </row>
    <row r="104" spans="1:22" s="7" customFormat="1" ht="16.8" thickTop="1" thickBot="1" x14ac:dyDescent="0.3">
      <c r="A104" s="237" t="s">
        <v>261</v>
      </c>
      <c r="B104" s="51"/>
      <c r="C104" s="45"/>
      <c r="D104" s="45"/>
      <c r="E104" s="46"/>
      <c r="F104" s="47"/>
      <c r="G104" s="48"/>
      <c r="H104" s="48"/>
      <c r="I104" s="48"/>
      <c r="J104" s="45"/>
      <c r="K104" s="45"/>
      <c r="L104" s="45"/>
      <c r="M104" s="52">
        <f>D7</f>
        <v>0.14000000000000001</v>
      </c>
      <c r="N104" s="50">
        <f>N101*M104</f>
        <v>14841.046119081906</v>
      </c>
      <c r="O104" s="50"/>
      <c r="P104" s="50"/>
      <c r="Q104" s="50">
        <f>P104+N104</f>
        <v>14841.046119081906</v>
      </c>
      <c r="R104" s="238">
        <f>Q104</f>
        <v>14841.046119081906</v>
      </c>
      <c r="S104" s="215"/>
      <c r="T104" s="215"/>
      <c r="U104" s="1"/>
      <c r="V104" s="1"/>
    </row>
    <row r="105" spans="1:22" s="7" customFormat="1" ht="16.8" thickTop="1" thickBot="1" x14ac:dyDescent="0.3">
      <c r="A105" s="310" t="s">
        <v>262</v>
      </c>
      <c r="B105" s="311"/>
      <c r="C105" s="45"/>
      <c r="D105" s="45"/>
      <c r="E105" s="46"/>
      <c r="F105" s="47"/>
      <c r="G105" s="48"/>
      <c r="H105" s="48"/>
      <c r="I105" s="48"/>
      <c r="J105" s="45"/>
      <c r="K105" s="45"/>
      <c r="L105" s="45"/>
      <c r="M105" s="49">
        <f>D8</f>
        <v>1.4999999999999999E-2</v>
      </c>
      <c r="N105" s="50">
        <f>(N101+N102+N103+N104)*M105</f>
        <v>1812.7277759735753</v>
      </c>
      <c r="O105" s="50"/>
      <c r="P105" s="50">
        <f>(P101+P102+P103+P104)*M105</f>
        <v>833.80833914291657</v>
      </c>
      <c r="Q105" s="50">
        <f>P105+N105</f>
        <v>2646.5361151164916</v>
      </c>
      <c r="R105" s="238">
        <f>Q105</f>
        <v>2646.5361151164916</v>
      </c>
      <c r="S105" s="215"/>
      <c r="T105" s="215"/>
      <c r="U105" s="1"/>
      <c r="V105" s="1"/>
    </row>
    <row r="106" spans="1:22" s="7" customFormat="1" ht="16.2" thickTop="1" x14ac:dyDescent="0.25">
      <c r="A106" s="312" t="s">
        <v>77</v>
      </c>
      <c r="B106" s="313"/>
      <c r="C106" s="239"/>
      <c r="D106" s="239"/>
      <c r="E106" s="240"/>
      <c r="F106" s="241"/>
      <c r="G106" s="242"/>
      <c r="H106" s="242"/>
      <c r="I106" s="242"/>
      <c r="J106" s="239"/>
      <c r="K106" s="239"/>
      <c r="L106" s="239"/>
      <c r="M106" s="243"/>
      <c r="N106" s="244">
        <f>SUM(N101:N105)</f>
        <v>122661.24617421193</v>
      </c>
      <c r="O106" s="243"/>
      <c r="P106" s="244">
        <f>SUM(P101:P105)</f>
        <v>56421.03094867069</v>
      </c>
      <c r="Q106" s="244">
        <f>SUM(Q101:Q105)</f>
        <v>179082.2771228826</v>
      </c>
      <c r="R106" s="245">
        <f>SUM(R101:R105)</f>
        <v>179082.27712288263</v>
      </c>
      <c r="S106" s="215"/>
      <c r="T106" s="216">
        <f>T101</f>
        <v>179082.2771228826</v>
      </c>
      <c r="U106" s="1"/>
      <c r="V106" s="1"/>
    </row>
  </sheetData>
  <autoFilter ref="J1:J142" xr:uid="{00000000-0001-0000-0300-000000000000}"/>
  <mergeCells count="10">
    <mergeCell ref="S2:S16"/>
    <mergeCell ref="T2:T16"/>
    <mergeCell ref="C101:I101"/>
    <mergeCell ref="A105:B105"/>
    <mergeCell ref="A106:B106"/>
    <mergeCell ref="A2:R2"/>
    <mergeCell ref="B3:E3"/>
    <mergeCell ref="E16:F16"/>
    <mergeCell ref="A101:B101"/>
    <mergeCell ref="A102:B102"/>
  </mergeCells>
  <dataValidations count="1">
    <dataValidation type="list" allowBlank="1" showInputMessage="1" showErrorMessage="1" sqref="E63" xr:uid="{8284A0FB-8497-48FF-9F51-5710E1D59170}">
      <formula1>#REF!</formula1>
    </dataValidation>
  </dataValidations>
  <hyperlinks>
    <hyperlink ref="B3:E3" location="'COST SUMMARY'!A1" display="CLICK HERE TO GO BACK TO COST SUMMARY" xr:uid="{85DBFABB-1BBB-4750-A00B-E255D14CDB15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CD8B895B-CF5E-4BB9-91D8-533A651BF0EB}">
          <x14:formula1>
            <xm:f>'HOURLY RATES'!$B$116:$B$126</xm:f>
          </x14:formula1>
          <xm:sqref>J19:J66 J99 J70:J87 J89:J93</xm:sqref>
        </x14:dataValidation>
        <x14:dataValidation type="list" allowBlank="1" showInputMessage="1" showErrorMessage="1" xr:uid="{82E1A377-DDB1-4B8D-AD08-2DF62F9ECE27}">
          <x14:formula1>
            <xm:f>'HOURLY RATES'!$C$6:$C$105</xm:f>
          </x14:formula1>
          <xm:sqref>E21:E32 E60:E62 E54:E57 E47:E51 E34:E36 E39:E44 E65:E66 E99 E70:E87 E89:E93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FFFF00"/>
    <pageSetUpPr fitToPage="1"/>
  </sheetPr>
  <dimension ref="A1:S77"/>
  <sheetViews>
    <sheetView showGridLines="0" zoomScale="70" zoomScaleNormal="70" workbookViewId="0">
      <selection sqref="A1:S4"/>
    </sheetView>
  </sheetViews>
  <sheetFormatPr defaultColWidth="8.81640625" defaultRowHeight="15.6" x14ac:dyDescent="0.3"/>
  <cols>
    <col min="1" max="15" width="8.81640625" style="92"/>
    <col min="16" max="17" width="9.1796875" style="92" customWidth="1"/>
    <col min="18" max="16384" width="8.81640625" style="92"/>
  </cols>
  <sheetData>
    <row r="1" spans="1:19" ht="15.6" customHeight="1" x14ac:dyDescent="0.3">
      <c r="A1" s="330" t="s">
        <v>0</v>
      </c>
      <c r="B1" s="331"/>
      <c r="C1" s="331"/>
      <c r="D1" s="331"/>
      <c r="E1" s="331"/>
      <c r="F1" s="331"/>
      <c r="G1" s="331"/>
      <c r="H1" s="331"/>
      <c r="I1" s="331"/>
      <c r="J1" s="331"/>
      <c r="K1" s="331"/>
      <c r="L1" s="331"/>
      <c r="M1" s="331"/>
      <c r="N1" s="331"/>
      <c r="O1" s="331"/>
      <c r="P1" s="331"/>
      <c r="Q1" s="331"/>
      <c r="R1" s="331"/>
      <c r="S1" s="332"/>
    </row>
    <row r="2" spans="1:19" s="93" customFormat="1" ht="20.399999999999999" customHeight="1" x14ac:dyDescent="0.4">
      <c r="A2" s="333"/>
      <c r="B2" s="334"/>
      <c r="C2" s="334"/>
      <c r="D2" s="334"/>
      <c r="E2" s="334"/>
      <c r="F2" s="334"/>
      <c r="G2" s="334"/>
      <c r="H2" s="334"/>
      <c r="I2" s="334"/>
      <c r="J2" s="334"/>
      <c r="K2" s="334"/>
      <c r="L2" s="334"/>
      <c r="M2" s="334"/>
      <c r="N2" s="334"/>
      <c r="O2" s="334"/>
      <c r="P2" s="334"/>
      <c r="Q2" s="334"/>
      <c r="R2" s="334"/>
      <c r="S2" s="335"/>
    </row>
    <row r="3" spans="1:19" ht="15.6" customHeight="1" x14ac:dyDescent="0.3">
      <c r="A3" s="333"/>
      <c r="B3" s="334"/>
      <c r="C3" s="334"/>
      <c r="D3" s="334"/>
      <c r="E3" s="334"/>
      <c r="F3" s="334"/>
      <c r="G3" s="334"/>
      <c r="H3" s="334"/>
      <c r="I3" s="334"/>
      <c r="J3" s="334"/>
      <c r="K3" s="334"/>
      <c r="L3" s="334"/>
      <c r="M3" s="334"/>
      <c r="N3" s="334"/>
      <c r="O3" s="334"/>
      <c r="P3" s="334"/>
      <c r="Q3" s="334"/>
      <c r="R3" s="334"/>
      <c r="S3" s="335"/>
    </row>
    <row r="4" spans="1:19" ht="15.6" customHeight="1" x14ac:dyDescent="0.3">
      <c r="A4" s="336"/>
      <c r="B4" s="337"/>
      <c r="C4" s="337"/>
      <c r="D4" s="337"/>
      <c r="E4" s="337"/>
      <c r="F4" s="337"/>
      <c r="G4" s="337"/>
      <c r="H4" s="337"/>
      <c r="I4" s="337"/>
      <c r="J4" s="337"/>
      <c r="K4" s="337"/>
      <c r="L4" s="337"/>
      <c r="M4" s="337"/>
      <c r="N4" s="337"/>
      <c r="O4" s="337"/>
      <c r="P4" s="337"/>
      <c r="Q4" s="337"/>
      <c r="R4" s="337"/>
      <c r="S4" s="338"/>
    </row>
    <row r="5" spans="1:19" x14ac:dyDescent="0.3">
      <c r="A5" s="127"/>
      <c r="S5" s="128"/>
    </row>
    <row r="6" spans="1:19" s="94" customFormat="1" ht="21.6" thickBot="1" x14ac:dyDescent="0.45">
      <c r="A6" s="129"/>
      <c r="B6" s="339"/>
      <c r="C6" s="339"/>
      <c r="D6" s="130"/>
      <c r="E6" s="340"/>
      <c r="F6" s="340"/>
      <c r="G6" s="130"/>
      <c r="H6" s="341"/>
      <c r="I6" s="341"/>
      <c r="J6" s="130"/>
      <c r="K6" s="342"/>
      <c r="L6" s="342"/>
      <c r="M6" s="130"/>
      <c r="N6" s="343"/>
      <c r="O6" s="343"/>
      <c r="P6" s="130"/>
      <c r="Q6" s="344"/>
      <c r="R6" s="344"/>
      <c r="S6" s="131"/>
    </row>
    <row r="7" spans="1:19" x14ac:dyDescent="0.3">
      <c r="A7" s="127"/>
      <c r="S7" s="128"/>
    </row>
    <row r="8" spans="1:19" x14ac:dyDescent="0.3">
      <c r="A8" s="127"/>
      <c r="S8" s="128"/>
    </row>
    <row r="9" spans="1:19" x14ac:dyDescent="0.3">
      <c r="A9" s="127"/>
      <c r="S9" s="128"/>
    </row>
    <row r="10" spans="1:19" x14ac:dyDescent="0.3">
      <c r="A10" s="127"/>
      <c r="S10" s="128"/>
    </row>
    <row r="11" spans="1:19" x14ac:dyDescent="0.3">
      <c r="A11" s="127"/>
      <c r="S11" s="128"/>
    </row>
    <row r="12" spans="1:19" ht="21" x14ac:dyDescent="0.4">
      <c r="A12" s="127"/>
      <c r="B12" s="130"/>
      <c r="K12" s="130"/>
      <c r="S12" s="128"/>
    </row>
    <row r="13" spans="1:19" x14ac:dyDescent="0.3">
      <c r="A13" s="127"/>
      <c r="S13" s="128"/>
    </row>
    <row r="14" spans="1:19" ht="18" x14ac:dyDescent="0.35">
      <c r="A14" s="127"/>
      <c r="B14" s="132"/>
      <c r="C14" s="132"/>
      <c r="D14" s="132"/>
      <c r="E14" s="132"/>
      <c r="F14" s="132"/>
      <c r="G14" s="132"/>
      <c r="H14" s="132"/>
      <c r="I14" s="132"/>
      <c r="K14" s="327"/>
      <c r="L14" s="327"/>
      <c r="M14" s="327"/>
      <c r="N14" s="327"/>
      <c r="O14" s="327"/>
      <c r="P14" s="327"/>
      <c r="Q14" s="327"/>
      <c r="R14" s="327"/>
      <c r="S14" s="128"/>
    </row>
    <row r="15" spans="1:19" x14ac:dyDescent="0.3">
      <c r="A15" s="127"/>
      <c r="B15" s="133"/>
      <c r="C15" s="133"/>
      <c r="D15" s="133"/>
      <c r="E15" s="133"/>
      <c r="F15" s="95"/>
      <c r="G15" s="95"/>
      <c r="H15" s="96"/>
      <c r="I15" s="96"/>
      <c r="K15" s="133"/>
      <c r="L15" s="133"/>
      <c r="M15" s="133"/>
      <c r="N15" s="133"/>
      <c r="O15" s="133"/>
      <c r="P15" s="133"/>
      <c r="Q15" s="345"/>
      <c r="R15" s="345"/>
      <c r="S15" s="128"/>
    </row>
    <row r="16" spans="1:19" x14ac:dyDescent="0.3">
      <c r="A16" s="127"/>
      <c r="B16" s="133"/>
      <c r="C16" s="133"/>
      <c r="D16" s="133"/>
      <c r="E16" s="133"/>
      <c r="F16" s="95"/>
      <c r="G16" s="95"/>
      <c r="I16" s="96"/>
      <c r="K16" s="133"/>
      <c r="L16" s="133"/>
      <c r="M16" s="133"/>
      <c r="N16" s="133"/>
      <c r="O16" s="133"/>
      <c r="P16" s="133"/>
      <c r="Q16" s="345"/>
      <c r="R16" s="345"/>
      <c r="S16" s="128"/>
    </row>
    <row r="17" spans="1:19" x14ac:dyDescent="0.3">
      <c r="A17" s="127"/>
      <c r="B17" s="133"/>
      <c r="C17" s="133"/>
      <c r="D17" s="133"/>
      <c r="E17" s="133"/>
      <c r="F17" s="95"/>
      <c r="G17" s="95"/>
      <c r="I17" s="134"/>
      <c r="K17" s="133"/>
      <c r="L17" s="133"/>
      <c r="M17" s="133"/>
      <c r="N17" s="133"/>
      <c r="O17" s="133"/>
      <c r="P17" s="133"/>
      <c r="S17" s="128"/>
    </row>
    <row r="18" spans="1:19" x14ac:dyDescent="0.3">
      <c r="A18" s="127"/>
      <c r="B18" s="133"/>
      <c r="C18" s="133"/>
      <c r="D18" s="133"/>
      <c r="E18" s="133"/>
      <c r="F18" s="95"/>
      <c r="G18" s="95"/>
      <c r="H18" s="134"/>
      <c r="I18" s="134"/>
      <c r="K18" s="133"/>
      <c r="L18" s="133"/>
      <c r="M18" s="133"/>
      <c r="N18" s="133"/>
      <c r="O18" s="133"/>
      <c r="P18" s="133"/>
      <c r="Q18" s="133"/>
      <c r="R18" s="133"/>
      <c r="S18" s="128"/>
    </row>
    <row r="19" spans="1:19" ht="15.6" customHeight="1" x14ac:dyDescent="0.3">
      <c r="A19" s="127"/>
      <c r="B19" s="133"/>
      <c r="C19" s="133"/>
      <c r="D19" s="133"/>
      <c r="E19" s="133"/>
      <c r="F19" s="95"/>
      <c r="G19" s="95"/>
      <c r="H19" s="134"/>
      <c r="I19" s="134"/>
      <c r="K19" s="135"/>
      <c r="L19" s="135"/>
      <c r="M19" s="135"/>
      <c r="N19" s="135"/>
      <c r="O19" s="135"/>
      <c r="P19" s="135"/>
      <c r="Q19" s="135"/>
      <c r="R19" s="135"/>
      <c r="S19" s="128"/>
    </row>
    <row r="20" spans="1:19" ht="15.6" customHeight="1" x14ac:dyDescent="0.3">
      <c r="A20" s="127"/>
      <c r="B20" s="133"/>
      <c r="C20" s="133"/>
      <c r="D20" s="133"/>
      <c r="E20" s="133"/>
      <c r="F20" s="95"/>
      <c r="G20" s="95"/>
      <c r="H20" s="134"/>
      <c r="I20" s="134"/>
      <c r="K20" s="135"/>
      <c r="L20" s="135"/>
      <c r="M20" s="135"/>
      <c r="N20" s="135"/>
      <c r="O20" s="135"/>
      <c r="P20" s="135"/>
      <c r="Q20" s="135"/>
      <c r="R20" s="135"/>
      <c r="S20" s="128"/>
    </row>
    <row r="21" spans="1:19" x14ac:dyDescent="0.3">
      <c r="A21" s="127"/>
      <c r="S21" s="128"/>
    </row>
    <row r="22" spans="1:19" ht="21" x14ac:dyDescent="0.4">
      <c r="A22" s="127"/>
      <c r="K22" s="130"/>
      <c r="S22" s="128"/>
    </row>
    <row r="23" spans="1:19" x14ac:dyDescent="0.3">
      <c r="A23" s="127"/>
      <c r="S23" s="128"/>
    </row>
    <row r="24" spans="1:19" x14ac:dyDescent="0.3">
      <c r="A24" s="127"/>
      <c r="S24" s="128"/>
    </row>
    <row r="25" spans="1:19" x14ac:dyDescent="0.3">
      <c r="A25" s="127"/>
      <c r="S25" s="128"/>
    </row>
    <row r="26" spans="1:19" s="97" customFormat="1" ht="18" x14ac:dyDescent="0.35">
      <c r="A26" s="136"/>
      <c r="K26" s="132"/>
      <c r="L26" s="132"/>
      <c r="M26" s="132"/>
      <c r="N26" s="132"/>
      <c r="O26" s="132"/>
      <c r="P26" s="132"/>
      <c r="Q26" s="132"/>
      <c r="R26" s="132"/>
      <c r="S26" s="128"/>
    </row>
    <row r="27" spans="1:19" x14ac:dyDescent="0.3">
      <c r="A27" s="127"/>
      <c r="K27" s="133"/>
      <c r="L27" s="133"/>
      <c r="M27" s="133"/>
      <c r="N27" s="133"/>
      <c r="O27" s="133"/>
      <c r="P27" s="133"/>
      <c r="Q27" s="133"/>
      <c r="R27" s="98"/>
      <c r="S27" s="128"/>
    </row>
    <row r="28" spans="1:19" x14ac:dyDescent="0.3">
      <c r="A28" s="127"/>
      <c r="K28" s="133"/>
      <c r="L28" s="133"/>
      <c r="M28" s="133"/>
      <c r="N28" s="133"/>
      <c r="O28" s="133"/>
      <c r="P28" s="133"/>
      <c r="Q28" s="133"/>
      <c r="R28" s="98"/>
      <c r="S28" s="128"/>
    </row>
    <row r="29" spans="1:19" x14ac:dyDescent="0.3">
      <c r="A29" s="127"/>
      <c r="K29" s="133"/>
      <c r="L29" s="133"/>
      <c r="M29" s="133"/>
      <c r="N29" s="133"/>
      <c r="O29" s="133"/>
      <c r="P29" s="133"/>
      <c r="Q29" s="133"/>
      <c r="R29" s="98"/>
      <c r="S29" s="128"/>
    </row>
    <row r="30" spans="1:19" x14ac:dyDescent="0.3">
      <c r="A30" s="127"/>
      <c r="K30" s="133"/>
      <c r="L30" s="133"/>
      <c r="M30" s="133"/>
      <c r="N30" s="133"/>
      <c r="O30" s="133"/>
      <c r="P30" s="133"/>
      <c r="Q30" s="133"/>
      <c r="R30" s="98"/>
      <c r="S30" s="128"/>
    </row>
    <row r="31" spans="1:19" x14ac:dyDescent="0.3">
      <c r="A31" s="127"/>
      <c r="K31" s="133"/>
      <c r="L31" s="133"/>
      <c r="M31" s="133"/>
      <c r="N31" s="133"/>
      <c r="O31" s="133"/>
      <c r="P31" s="133"/>
      <c r="Q31" s="133"/>
      <c r="R31" s="98"/>
      <c r="S31" s="128"/>
    </row>
    <row r="32" spans="1:19" x14ac:dyDescent="0.3">
      <c r="A32" s="127"/>
      <c r="K32" s="133"/>
      <c r="L32" s="133"/>
      <c r="M32" s="133"/>
      <c r="N32" s="133"/>
      <c r="O32" s="133"/>
      <c r="P32" s="133"/>
      <c r="Q32" s="133"/>
      <c r="R32" s="98"/>
      <c r="S32" s="128"/>
    </row>
    <row r="33" spans="1:19" x14ac:dyDescent="0.3">
      <c r="A33" s="127"/>
      <c r="K33" s="133"/>
      <c r="L33" s="133"/>
      <c r="M33" s="133"/>
      <c r="N33" s="133"/>
      <c r="O33" s="133"/>
      <c r="P33" s="133"/>
      <c r="Q33" s="133"/>
      <c r="R33" s="98"/>
      <c r="S33" s="128"/>
    </row>
    <row r="34" spans="1:19" x14ac:dyDescent="0.3">
      <c r="A34" s="127"/>
      <c r="K34" s="133"/>
      <c r="L34" s="133"/>
      <c r="M34" s="133"/>
      <c r="N34" s="133"/>
      <c r="O34" s="133"/>
      <c r="P34" s="133"/>
      <c r="Q34" s="133"/>
      <c r="R34" s="98"/>
      <c r="S34" s="128"/>
    </row>
    <row r="35" spans="1:19" x14ac:dyDescent="0.3">
      <c r="A35" s="325"/>
      <c r="B35" s="326"/>
      <c r="C35" s="326"/>
      <c r="D35" s="326"/>
      <c r="I35" s="329" t="s">
        <v>1</v>
      </c>
      <c r="J35" s="329"/>
      <c r="K35" s="329"/>
      <c r="L35" s="329"/>
      <c r="M35" s="133"/>
      <c r="N35" s="133"/>
      <c r="O35" s="133"/>
      <c r="P35" s="133"/>
      <c r="Q35" s="133"/>
      <c r="R35" s="98"/>
      <c r="S35" s="128"/>
    </row>
    <row r="36" spans="1:19" x14ac:dyDescent="0.3">
      <c r="A36" s="127"/>
      <c r="Q36" s="133"/>
      <c r="R36" s="98"/>
      <c r="S36" s="128"/>
    </row>
    <row r="37" spans="1:19" x14ac:dyDescent="0.3">
      <c r="A37" s="127" t="s">
        <v>2</v>
      </c>
      <c r="K37" s="133"/>
      <c r="L37" s="137"/>
      <c r="M37" s="133"/>
      <c r="N37" s="133"/>
      <c r="O37" s="133"/>
      <c r="P37" s="133"/>
      <c r="Q37" s="133"/>
      <c r="R37" s="98"/>
      <c r="S37" s="128"/>
    </row>
    <row r="38" spans="1:19" ht="15.6" customHeight="1" x14ac:dyDescent="0.3">
      <c r="A38" s="127"/>
      <c r="B38" s="138"/>
      <c r="C38" s="138"/>
      <c r="D38" s="138"/>
      <c r="E38" s="138"/>
      <c r="F38" s="138"/>
      <c r="G38" s="138"/>
      <c r="H38" s="138"/>
      <c r="K38" s="328"/>
      <c r="L38" s="328"/>
      <c r="M38" s="328"/>
      <c r="N38" s="328"/>
      <c r="P38" s="133"/>
      <c r="Q38" s="133"/>
      <c r="R38" s="98"/>
      <c r="S38" s="128"/>
    </row>
    <row r="39" spans="1:19" ht="15.6" customHeight="1" x14ac:dyDescent="0.3">
      <c r="A39" s="127"/>
      <c r="B39" s="138"/>
      <c r="C39" s="138"/>
      <c r="D39" s="138"/>
      <c r="E39" s="138"/>
      <c r="F39" s="138"/>
      <c r="G39" s="138"/>
      <c r="H39" s="138"/>
      <c r="I39" s="138"/>
      <c r="K39" s="133"/>
      <c r="L39" s="133"/>
      <c r="M39" s="133"/>
      <c r="N39" s="133"/>
      <c r="O39" s="133"/>
      <c r="P39" s="133"/>
      <c r="Q39" s="133"/>
      <c r="R39" s="98"/>
      <c r="S39" s="128"/>
    </row>
    <row r="40" spans="1:19" x14ac:dyDescent="0.3">
      <c r="A40" s="127"/>
      <c r="K40" s="133"/>
      <c r="L40" s="133"/>
      <c r="M40" s="133"/>
      <c r="N40" s="133"/>
      <c r="O40" s="133"/>
      <c r="P40" s="133"/>
      <c r="R40" s="98"/>
      <c r="S40" s="128"/>
    </row>
    <row r="41" spans="1:19" x14ac:dyDescent="0.3">
      <c r="A41" s="127"/>
      <c r="K41" s="133"/>
      <c r="L41" s="133"/>
      <c r="M41" s="133"/>
      <c r="N41" s="133"/>
      <c r="O41" s="133"/>
      <c r="P41" s="133"/>
      <c r="R41" s="98"/>
      <c r="S41" s="128"/>
    </row>
    <row r="42" spans="1:19" ht="18" x14ac:dyDescent="0.35">
      <c r="A42" s="127"/>
      <c r="B42" s="132"/>
      <c r="C42" s="132"/>
      <c r="D42" s="132"/>
      <c r="E42" s="132"/>
      <c r="F42" s="132"/>
      <c r="G42" s="132"/>
      <c r="H42" s="132"/>
      <c r="I42" s="132"/>
      <c r="K42" s="133"/>
      <c r="L42" s="133"/>
      <c r="M42" s="133"/>
      <c r="N42" s="133"/>
      <c r="O42" s="133"/>
      <c r="P42" s="133"/>
      <c r="R42" s="98"/>
      <c r="S42" s="128"/>
    </row>
    <row r="43" spans="1:19" x14ac:dyDescent="0.3">
      <c r="A43" s="127"/>
      <c r="B43" s="133"/>
      <c r="C43" s="133"/>
      <c r="D43" s="133"/>
      <c r="E43" s="133"/>
      <c r="F43" s="133"/>
      <c r="G43" s="133"/>
      <c r="H43" s="133"/>
      <c r="I43" s="98"/>
      <c r="K43" s="133"/>
      <c r="L43" s="133"/>
      <c r="M43" s="133"/>
      <c r="N43" s="133"/>
      <c r="O43" s="133"/>
      <c r="P43" s="133"/>
      <c r="R43" s="98"/>
      <c r="S43" s="128"/>
    </row>
    <row r="44" spans="1:19" x14ac:dyDescent="0.3">
      <c r="A44" s="127"/>
      <c r="B44" s="133"/>
      <c r="C44" s="133"/>
      <c r="D44" s="133"/>
      <c r="E44" s="133"/>
      <c r="F44" s="133"/>
      <c r="G44" s="133"/>
      <c r="H44" s="133"/>
      <c r="I44" s="98"/>
      <c r="K44" s="133"/>
      <c r="L44" s="133"/>
      <c r="M44" s="133"/>
      <c r="N44" s="133"/>
      <c r="O44" s="133"/>
      <c r="P44" s="133"/>
      <c r="R44" s="98"/>
      <c r="S44" s="128"/>
    </row>
    <row r="45" spans="1:19" x14ac:dyDescent="0.3">
      <c r="A45" s="127"/>
      <c r="B45" s="133"/>
      <c r="C45" s="133"/>
      <c r="D45" s="133"/>
      <c r="E45" s="133"/>
      <c r="F45" s="133"/>
      <c r="G45" s="133"/>
      <c r="H45" s="133"/>
      <c r="I45" s="98"/>
      <c r="K45" s="133"/>
      <c r="L45" s="133"/>
      <c r="M45" s="133"/>
      <c r="N45" s="133"/>
      <c r="O45" s="133"/>
      <c r="P45" s="133"/>
      <c r="R45" s="98"/>
      <c r="S45" s="128"/>
    </row>
    <row r="46" spans="1:19" x14ac:dyDescent="0.3">
      <c r="A46" s="127"/>
      <c r="B46" s="133"/>
      <c r="C46" s="133"/>
      <c r="D46" s="133"/>
      <c r="E46" s="133"/>
      <c r="F46" s="133"/>
      <c r="G46" s="133"/>
      <c r="H46" s="133"/>
      <c r="I46" s="98"/>
      <c r="K46" s="133"/>
      <c r="L46" s="133"/>
      <c r="M46" s="133"/>
      <c r="N46" s="133"/>
      <c r="O46" s="133"/>
      <c r="P46" s="133"/>
      <c r="R46" s="98"/>
      <c r="S46" s="128"/>
    </row>
    <row r="47" spans="1:19" x14ac:dyDescent="0.3">
      <c r="A47" s="127"/>
      <c r="B47" s="133"/>
      <c r="C47" s="133"/>
      <c r="D47" s="133"/>
      <c r="E47" s="133"/>
      <c r="F47" s="133"/>
      <c r="G47" s="133"/>
      <c r="H47" s="133"/>
      <c r="I47" s="98"/>
      <c r="K47" s="133"/>
      <c r="L47" s="133"/>
      <c r="M47" s="133"/>
      <c r="N47" s="133"/>
      <c r="O47" s="133"/>
      <c r="P47" s="133"/>
      <c r="R47" s="98"/>
      <c r="S47" s="128"/>
    </row>
    <row r="48" spans="1:19" x14ac:dyDescent="0.3">
      <c r="A48" s="127"/>
      <c r="B48" s="133"/>
      <c r="C48" s="133"/>
      <c r="D48" s="133"/>
      <c r="E48" s="133"/>
      <c r="F48" s="133"/>
      <c r="G48" s="133"/>
      <c r="H48" s="133"/>
      <c r="I48" s="98"/>
      <c r="K48" s="133"/>
      <c r="L48" s="133"/>
      <c r="M48" s="133"/>
      <c r="N48" s="133"/>
      <c r="O48" s="133"/>
      <c r="P48" s="133"/>
      <c r="R48" s="98"/>
      <c r="S48" s="128"/>
    </row>
    <row r="49" spans="1:19" x14ac:dyDescent="0.3">
      <c r="A49" s="127"/>
      <c r="B49" s="133"/>
      <c r="C49" s="133"/>
      <c r="D49" s="133"/>
      <c r="E49" s="133"/>
      <c r="F49" s="133"/>
      <c r="G49" s="133"/>
      <c r="H49" s="133"/>
      <c r="I49" s="98"/>
      <c r="K49" s="133"/>
      <c r="L49" s="133"/>
      <c r="M49" s="133"/>
      <c r="N49" s="133"/>
      <c r="O49" s="133"/>
      <c r="P49" s="133"/>
      <c r="R49" s="98"/>
      <c r="S49" s="128"/>
    </row>
    <row r="50" spans="1:19" x14ac:dyDescent="0.3">
      <c r="A50" s="127"/>
      <c r="B50" s="133"/>
      <c r="C50" s="133"/>
      <c r="D50" s="133"/>
      <c r="E50" s="133"/>
      <c r="F50" s="133"/>
      <c r="G50" s="133"/>
      <c r="H50" s="133"/>
      <c r="I50" s="98"/>
      <c r="K50" s="133"/>
      <c r="L50" s="133"/>
      <c r="M50" s="133"/>
      <c r="N50" s="133"/>
      <c r="O50" s="133"/>
      <c r="P50" s="133"/>
      <c r="R50" s="98"/>
      <c r="S50" s="128"/>
    </row>
    <row r="51" spans="1:19" x14ac:dyDescent="0.3">
      <c r="A51" s="127"/>
      <c r="B51" s="133"/>
      <c r="C51" s="133"/>
      <c r="D51" s="133"/>
      <c r="E51" s="133"/>
      <c r="F51" s="133"/>
      <c r="G51" s="133"/>
      <c r="H51" s="133"/>
      <c r="I51" s="98"/>
      <c r="K51" s="133"/>
      <c r="L51" s="133"/>
      <c r="M51" s="133"/>
      <c r="N51" s="133"/>
      <c r="O51" s="133"/>
      <c r="P51" s="133"/>
      <c r="R51" s="98"/>
      <c r="S51" s="128"/>
    </row>
    <row r="52" spans="1:19" x14ac:dyDescent="0.3">
      <c r="A52" s="127"/>
      <c r="B52" s="133"/>
      <c r="C52" s="133"/>
      <c r="D52" s="133"/>
      <c r="E52" s="133"/>
      <c r="F52" s="133"/>
      <c r="G52" s="133"/>
      <c r="H52" s="133"/>
      <c r="I52" s="98"/>
      <c r="K52" s="133"/>
      <c r="L52" s="133"/>
      <c r="M52" s="133"/>
      <c r="N52" s="133"/>
      <c r="O52" s="133"/>
      <c r="P52" s="133"/>
      <c r="R52" s="98"/>
      <c r="S52" s="128"/>
    </row>
    <row r="53" spans="1:19" x14ac:dyDescent="0.3">
      <c r="A53" s="127"/>
      <c r="B53" s="133"/>
      <c r="C53" s="133"/>
      <c r="D53" s="133"/>
      <c r="E53" s="133"/>
      <c r="F53" s="133"/>
      <c r="G53" s="133"/>
      <c r="H53" s="133"/>
      <c r="I53" s="98"/>
      <c r="K53" s="133"/>
      <c r="L53" s="133"/>
      <c r="M53" s="133"/>
      <c r="N53" s="133"/>
      <c r="O53" s="133"/>
      <c r="P53" s="133"/>
      <c r="R53" s="98"/>
      <c r="S53" s="128"/>
    </row>
    <row r="54" spans="1:19" x14ac:dyDescent="0.3">
      <c r="A54" s="127"/>
      <c r="B54" s="133"/>
      <c r="C54" s="133"/>
      <c r="D54" s="133"/>
      <c r="E54" s="133"/>
      <c r="F54" s="133"/>
      <c r="G54" s="133"/>
      <c r="H54" s="133"/>
      <c r="I54" s="98"/>
      <c r="K54" s="133"/>
      <c r="L54" s="133"/>
      <c r="M54" s="133"/>
      <c r="N54" s="133"/>
      <c r="O54" s="133"/>
      <c r="P54" s="133"/>
      <c r="R54" s="98"/>
      <c r="S54" s="128"/>
    </row>
    <row r="55" spans="1:19" x14ac:dyDescent="0.3">
      <c r="A55" s="127"/>
      <c r="B55" s="133"/>
      <c r="C55" s="133"/>
      <c r="D55" s="133"/>
      <c r="E55" s="133"/>
      <c r="F55" s="133"/>
      <c r="G55" s="133"/>
      <c r="H55" s="133"/>
      <c r="I55" s="98"/>
      <c r="K55" s="133"/>
      <c r="L55" s="133"/>
      <c r="M55" s="133"/>
      <c r="N55" s="133"/>
      <c r="O55" s="133"/>
      <c r="P55" s="133"/>
      <c r="R55" s="98"/>
      <c r="S55" s="128"/>
    </row>
    <row r="56" spans="1:19" x14ac:dyDescent="0.3">
      <c r="A56" s="127"/>
      <c r="S56" s="128"/>
    </row>
    <row r="57" spans="1:19" x14ac:dyDescent="0.3">
      <c r="A57" s="127"/>
      <c r="S57" s="128"/>
    </row>
    <row r="58" spans="1:19" x14ac:dyDescent="0.3">
      <c r="A58" s="127"/>
      <c r="S58" s="128"/>
    </row>
    <row r="59" spans="1:19" x14ac:dyDescent="0.3">
      <c r="A59" s="127"/>
      <c r="S59" s="128"/>
    </row>
    <row r="60" spans="1:19" x14ac:dyDescent="0.3">
      <c r="A60" s="127"/>
      <c r="S60" s="128"/>
    </row>
    <row r="61" spans="1:19" x14ac:dyDescent="0.3">
      <c r="A61" s="127"/>
      <c r="S61" s="128"/>
    </row>
    <row r="62" spans="1:19" x14ac:dyDescent="0.3">
      <c r="A62" s="127"/>
      <c r="S62" s="128"/>
    </row>
    <row r="63" spans="1:19" x14ac:dyDescent="0.3">
      <c r="A63" s="127"/>
      <c r="S63" s="128"/>
    </row>
    <row r="64" spans="1:19" x14ac:dyDescent="0.3">
      <c r="A64" s="127"/>
      <c r="S64" s="128"/>
    </row>
    <row r="65" spans="1:19" x14ac:dyDescent="0.3">
      <c r="A65" s="127"/>
      <c r="S65" s="128"/>
    </row>
    <row r="66" spans="1:19" x14ac:dyDescent="0.3">
      <c r="A66" s="127"/>
      <c r="S66" s="128"/>
    </row>
    <row r="67" spans="1:19" x14ac:dyDescent="0.3">
      <c r="A67" s="127"/>
      <c r="S67" s="128"/>
    </row>
    <row r="68" spans="1:19" x14ac:dyDescent="0.3">
      <c r="A68" s="127"/>
      <c r="S68" s="128"/>
    </row>
    <row r="69" spans="1:19" x14ac:dyDescent="0.3">
      <c r="A69" s="127"/>
      <c r="S69" s="128"/>
    </row>
    <row r="70" spans="1:19" x14ac:dyDescent="0.3">
      <c r="A70" s="127"/>
      <c r="S70" s="128"/>
    </row>
    <row r="71" spans="1:19" x14ac:dyDescent="0.3">
      <c r="A71" s="127"/>
      <c r="S71" s="128"/>
    </row>
    <row r="72" spans="1:19" x14ac:dyDescent="0.3">
      <c r="A72" s="127"/>
      <c r="S72" s="128"/>
    </row>
    <row r="73" spans="1:19" x14ac:dyDescent="0.3">
      <c r="A73" s="127"/>
      <c r="S73" s="128"/>
    </row>
    <row r="74" spans="1:19" x14ac:dyDescent="0.3">
      <c r="A74" s="127"/>
      <c r="S74" s="128"/>
    </row>
    <row r="75" spans="1:19" x14ac:dyDescent="0.3">
      <c r="A75" s="127"/>
      <c r="S75" s="128"/>
    </row>
    <row r="76" spans="1:19" x14ac:dyDescent="0.3">
      <c r="A76" s="127"/>
      <c r="S76" s="128"/>
    </row>
    <row r="77" spans="1:19" x14ac:dyDescent="0.3">
      <c r="A77" s="139"/>
      <c r="B77" s="140"/>
      <c r="C77" s="140"/>
      <c r="D77" s="140"/>
      <c r="E77" s="140"/>
      <c r="F77" s="140"/>
      <c r="G77" s="140"/>
      <c r="H77" s="140"/>
      <c r="I77" s="140"/>
      <c r="J77" s="140"/>
      <c r="K77" s="140"/>
      <c r="L77" s="140"/>
      <c r="M77" s="140"/>
      <c r="N77" s="140"/>
      <c r="O77" s="140"/>
      <c r="P77" s="140"/>
      <c r="Q77" s="140"/>
      <c r="R77" s="140"/>
      <c r="S77" s="141"/>
    </row>
  </sheetData>
  <mergeCells count="14">
    <mergeCell ref="A35:D35"/>
    <mergeCell ref="K14:P14"/>
    <mergeCell ref="K38:N38"/>
    <mergeCell ref="I35:L35"/>
    <mergeCell ref="A1:S4"/>
    <mergeCell ref="B6:C6"/>
    <mergeCell ref="E6:F6"/>
    <mergeCell ref="H6:I6"/>
    <mergeCell ref="K6:L6"/>
    <mergeCell ref="N6:O6"/>
    <mergeCell ref="Q6:R6"/>
    <mergeCell ref="Q16:R16"/>
    <mergeCell ref="Q14:R14"/>
    <mergeCell ref="Q15:R15"/>
  </mergeCells>
  <conditionalFormatting sqref="I43:I55">
    <cfRule type="expression" dxfId="5" priority="3">
      <formula>I43=0</formula>
    </cfRule>
    <cfRule type="expression" dxfId="4" priority="4">
      <formula>I43&lt;1</formula>
    </cfRule>
  </conditionalFormatting>
  <conditionalFormatting sqref="R27:R55">
    <cfRule type="expression" dxfId="3" priority="1">
      <formula>R27=0</formula>
    </cfRule>
    <cfRule type="expression" dxfId="2" priority="2">
      <formula>R27&lt;1</formula>
    </cfRule>
  </conditionalFormatting>
  <pageMargins left="0.7" right="0.7" top="0.75" bottom="0.75" header="0.3" footer="0.3"/>
  <pageSetup scale="44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A3:G11"/>
  <sheetViews>
    <sheetView workbookViewId="0">
      <selection activeCell="E21" sqref="E21"/>
    </sheetView>
  </sheetViews>
  <sheetFormatPr defaultColWidth="8.81640625" defaultRowHeight="15" x14ac:dyDescent="0.25"/>
  <cols>
    <col min="1" max="1" width="8.81640625" style="15"/>
    <col min="2" max="2" width="30.453125" style="15" bestFit="1" customWidth="1"/>
    <col min="3" max="3" width="15" style="15" bestFit="1" customWidth="1"/>
    <col min="4" max="4" width="14.54296875" style="15" bestFit="1" customWidth="1"/>
    <col min="5" max="5" width="16.54296875" style="15" bestFit="1" customWidth="1"/>
    <col min="6" max="6" width="34.90625" style="15" bestFit="1" customWidth="1"/>
    <col min="7" max="7" width="24" style="74" bestFit="1" customWidth="1"/>
    <col min="8" max="16384" width="8.81640625" style="15"/>
  </cols>
  <sheetData>
    <row r="3" spans="1:6" x14ac:dyDescent="0.25">
      <c r="A3" s="17" t="s">
        <v>3</v>
      </c>
    </row>
    <row r="4" spans="1:6" x14ac:dyDescent="0.25">
      <c r="B4" s="16" t="s">
        <v>4</v>
      </c>
      <c r="C4" s="16" t="s">
        <v>5</v>
      </c>
    </row>
    <row r="5" spans="1:6" x14ac:dyDescent="0.25">
      <c r="B5" s="15" t="s">
        <v>6</v>
      </c>
      <c r="C5" s="22">
        <f>'COST SUMMARY'!E25</f>
        <v>70413.366776666677</v>
      </c>
      <c r="D5" s="18">
        <f>C5/$C$11</f>
        <v>0.31625484084827421</v>
      </c>
    </row>
    <row r="6" spans="1:6" x14ac:dyDescent="0.25">
      <c r="B6" s="15" t="s">
        <v>7</v>
      </c>
      <c r="C6" s="22">
        <f>'COST SUMMARY'!D25</f>
        <v>118978.68686623767</v>
      </c>
      <c r="D6" s="18">
        <f t="shared" ref="D6:D10" si="0">C6/$C$11</f>
        <v>0.53438128869144685</v>
      </c>
      <c r="E6" s="16" t="s">
        <v>4</v>
      </c>
      <c r="F6" s="16" t="s">
        <v>8</v>
      </c>
    </row>
    <row r="7" spans="1:6" x14ac:dyDescent="0.25">
      <c r="B7" s="15" t="s">
        <v>9</v>
      </c>
      <c r="C7" s="22">
        <f>'COST SUMMARY'!E26</f>
        <v>6266.7896431233339</v>
      </c>
      <c r="D7" s="18">
        <f>C7/$C$11</f>
        <v>2.8146680835496405E-2</v>
      </c>
      <c r="E7" s="15" t="s">
        <v>9</v>
      </c>
      <c r="F7" s="19">
        <f>C7/C5</f>
        <v>8.8999999999999996E-2</v>
      </c>
    </row>
    <row r="8" spans="1:6" x14ac:dyDescent="0.25">
      <c r="B8" s="15" t="s">
        <v>10</v>
      </c>
      <c r="C8" s="22">
        <f>'COST SUMMARY'!E27</f>
        <v>7041.336677666668</v>
      </c>
      <c r="D8" s="18">
        <f>C8/$C$11</f>
        <v>3.1625484084827425E-2</v>
      </c>
      <c r="E8" s="15" t="s">
        <v>10</v>
      </c>
      <c r="F8" s="19">
        <f>C8/C5</f>
        <v>0.1</v>
      </c>
    </row>
    <row r="9" spans="1:6" x14ac:dyDescent="0.25">
      <c r="B9" s="15" t="s">
        <v>11</v>
      </c>
      <c r="C9" s="22">
        <f>'COST SUMMARY'!D28</f>
        <v>16657.016161273274</v>
      </c>
      <c r="D9" s="18">
        <f t="shared" si="0"/>
        <v>7.4813380416802563E-2</v>
      </c>
      <c r="E9" s="15" t="s">
        <v>11</v>
      </c>
      <c r="F9" s="19">
        <f>C9/C6</f>
        <v>0.14000000000000001</v>
      </c>
    </row>
    <row r="10" spans="1:6" x14ac:dyDescent="0.25">
      <c r="B10" s="15" t="s">
        <v>12</v>
      </c>
      <c r="C10" s="22">
        <f>'COST SUMMARY'!F29</f>
        <v>3290.3579418745139</v>
      </c>
      <c r="D10" s="18">
        <f t="shared" si="0"/>
        <v>1.477832512315271E-2</v>
      </c>
      <c r="E10" s="15" t="s">
        <v>12</v>
      </c>
      <c r="F10" s="19">
        <f>C10/SUM(C4:C9)</f>
        <v>1.4999999999999999E-2</v>
      </c>
    </row>
    <row r="11" spans="1:6" x14ac:dyDescent="0.25">
      <c r="C11" s="22">
        <f>SUM(C5:C10)</f>
        <v>222647.5540668421</v>
      </c>
      <c r="E11" s="15" t="s">
        <v>13</v>
      </c>
      <c r="F11" s="18">
        <f>'COST SUMMARY'!L13</f>
        <v>0.05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theme="3" tint="0.39997558519241921"/>
    <pageSetUpPr fitToPage="1"/>
  </sheetPr>
  <dimension ref="A1:T51"/>
  <sheetViews>
    <sheetView view="pageBreakPreview" topLeftCell="A9" zoomScale="60" zoomScaleNormal="55" workbookViewId="0">
      <selection activeCell="E20" sqref="E20"/>
    </sheetView>
  </sheetViews>
  <sheetFormatPr defaultColWidth="8.90625" defaultRowHeight="15.6" x14ac:dyDescent="0.25"/>
  <cols>
    <col min="1" max="1" width="7.36328125" style="1" customWidth="1"/>
    <col min="2" max="2" width="13.90625" style="4" customWidth="1"/>
    <col min="3" max="3" width="34.6328125" style="4" customWidth="1"/>
    <col min="4" max="4" width="16" style="116" customWidth="1"/>
    <col min="5" max="5" width="14.453125" style="5" bestFit="1" customWidth="1"/>
    <col min="6" max="6" width="15.36328125" style="5" customWidth="1"/>
    <col min="7" max="7" width="12.81640625" style="5" customWidth="1"/>
    <col min="8" max="8" width="7.453125" style="4" customWidth="1"/>
    <col min="9" max="9" width="3.08984375" style="4" customWidth="1"/>
    <col min="10" max="10" width="19.90625" style="6" customWidth="1"/>
    <col min="11" max="11" width="18" style="6" customWidth="1"/>
    <col min="12" max="12" width="15.08984375" style="6" customWidth="1"/>
    <col min="13" max="13" width="20.6328125" style="6" customWidth="1"/>
    <col min="14" max="14" width="14.6328125" style="6" customWidth="1"/>
    <col min="15" max="16" width="13" style="6" customWidth="1"/>
    <col min="17" max="17" width="5.08984375" style="6" customWidth="1"/>
    <col min="18" max="18" width="17.90625" style="6" customWidth="1"/>
    <col min="19" max="19" width="12" style="117" customWidth="1"/>
    <col min="20" max="20" width="8.90625" style="1"/>
    <col min="21" max="21" width="10.36328125" style="1" bestFit="1" customWidth="1"/>
    <col min="22" max="16384" width="8.90625" style="1"/>
  </cols>
  <sheetData>
    <row r="1" spans="1:20" ht="34.950000000000003" customHeight="1" x14ac:dyDescent="0.25">
      <c r="A1" s="349" t="s">
        <v>14</v>
      </c>
      <c r="B1" s="350"/>
      <c r="C1" s="350"/>
      <c r="D1" s="350"/>
      <c r="E1" s="350"/>
      <c r="F1" s="350"/>
      <c r="G1" s="350"/>
      <c r="H1" s="350"/>
      <c r="I1" s="350"/>
      <c r="J1" s="350"/>
      <c r="K1" s="350"/>
      <c r="L1" s="350"/>
      <c r="M1" s="350"/>
      <c r="N1" s="350"/>
      <c r="O1" s="350"/>
      <c r="P1" s="350"/>
      <c r="Q1" s="351"/>
      <c r="R1" s="1"/>
      <c r="S1" s="1"/>
    </row>
    <row r="2" spans="1:20" s="40" customFormat="1" ht="34.950000000000003" customHeight="1" x14ac:dyDescent="0.2">
      <c r="A2" s="352"/>
      <c r="B2" s="353"/>
      <c r="C2" s="353"/>
      <c r="D2" s="353"/>
      <c r="E2" s="353"/>
      <c r="F2" s="353"/>
      <c r="G2" s="353"/>
      <c r="H2" s="353"/>
      <c r="I2" s="353"/>
      <c r="J2" s="353"/>
      <c r="K2" s="353"/>
      <c r="L2" s="353"/>
      <c r="M2" s="353"/>
      <c r="N2" s="353"/>
      <c r="O2" s="353"/>
      <c r="P2" s="353"/>
      <c r="Q2" s="354"/>
      <c r="R2" s="1"/>
      <c r="S2" s="1"/>
      <c r="T2" s="1"/>
    </row>
    <row r="3" spans="1:20" x14ac:dyDescent="0.25">
      <c r="A3" s="99"/>
      <c r="B3" s="142"/>
      <c r="C3" s="142"/>
      <c r="D3" s="143"/>
      <c r="E3" s="144"/>
      <c r="F3" s="144"/>
      <c r="G3" s="144"/>
      <c r="H3" s="142"/>
      <c r="I3" s="142"/>
      <c r="J3" s="145"/>
      <c r="K3" s="145"/>
      <c r="L3" s="145"/>
      <c r="M3" s="145"/>
      <c r="N3" s="145"/>
      <c r="O3" s="145"/>
      <c r="P3" s="145"/>
      <c r="Q3" s="100"/>
      <c r="R3" s="1"/>
      <c r="S3" s="1"/>
    </row>
    <row r="4" spans="1:20" ht="21" x14ac:dyDescent="0.4">
      <c r="A4" s="99"/>
      <c r="B4" s="142"/>
      <c r="C4" s="146" t="s">
        <v>15</v>
      </c>
      <c r="D4" s="147">
        <f>'BASE BID'!K4</f>
        <v>45929</v>
      </c>
      <c r="E4" s="144"/>
      <c r="F4" s="144"/>
      <c r="G4" s="144"/>
      <c r="H4" s="142"/>
      <c r="I4" s="142"/>
      <c r="J4" s="148"/>
      <c r="K4" s="146" t="s">
        <v>16</v>
      </c>
      <c r="L4" s="149" t="str">
        <f>'BASE BID'!K7</f>
        <v>Private (Non-Prevailing wage)</v>
      </c>
      <c r="M4" s="148"/>
      <c r="N4" s="148"/>
      <c r="O4" s="148"/>
      <c r="P4" s="148"/>
      <c r="Q4" s="101"/>
      <c r="R4" s="1"/>
      <c r="S4" s="1"/>
    </row>
    <row r="5" spans="1:20" ht="21" x14ac:dyDescent="0.4">
      <c r="A5" s="99"/>
      <c r="B5" s="142"/>
      <c r="C5" s="146" t="s">
        <v>17</v>
      </c>
      <c r="D5" s="150" t="str">
        <f>'BASE BID'!K5</f>
        <v xml:space="preserve">Replacement Of The Lexington Avenue Retaining Wall </v>
      </c>
      <c r="E5" s="144"/>
      <c r="F5" s="144"/>
      <c r="G5" s="144"/>
      <c r="H5" s="142"/>
      <c r="I5" s="142"/>
      <c r="J5" s="148"/>
      <c r="K5" s="146" t="s">
        <v>18</v>
      </c>
      <c r="L5" s="151" t="s">
        <v>759</v>
      </c>
      <c r="M5" s="151"/>
      <c r="N5" s="151"/>
      <c r="O5" s="151"/>
      <c r="P5" s="151"/>
      <c r="Q5" s="101"/>
      <c r="R5" s="1"/>
      <c r="S5" s="1"/>
    </row>
    <row r="6" spans="1:20" ht="20.25" customHeight="1" x14ac:dyDescent="0.4">
      <c r="A6" s="99"/>
      <c r="B6" s="142"/>
      <c r="C6" s="152" t="s">
        <v>19</v>
      </c>
      <c r="D6" s="358" t="str">
        <f>'BASE BID'!K6</f>
        <v>City OF Norwalk 11, 19 &amp; 21 Snowden Street</v>
      </c>
      <c r="E6" s="358"/>
      <c r="F6" s="358"/>
      <c r="G6" s="358"/>
      <c r="H6" s="358"/>
      <c r="I6" s="358"/>
      <c r="J6" s="148"/>
      <c r="K6" s="90" t="s">
        <v>20</v>
      </c>
      <c r="L6" s="102">
        <f>D10</f>
        <v>222647.55406684216</v>
      </c>
      <c r="M6" s="151"/>
      <c r="N6" s="151"/>
      <c r="O6" s="151"/>
      <c r="P6" s="151"/>
      <c r="Q6" s="101"/>
      <c r="R6" s="1"/>
      <c r="S6" s="1"/>
    </row>
    <row r="7" spans="1:20" ht="21" x14ac:dyDescent="0.4">
      <c r="A7" s="99"/>
      <c r="B7" s="142"/>
      <c r="C7" s="146"/>
      <c r="D7" s="358"/>
      <c r="E7" s="358"/>
      <c r="F7" s="358"/>
      <c r="G7" s="358"/>
      <c r="H7" s="358"/>
      <c r="I7" s="358"/>
      <c r="J7" s="148"/>
      <c r="K7" s="148"/>
      <c r="L7" s="148"/>
      <c r="M7" s="148"/>
      <c r="N7" s="148"/>
      <c r="O7" s="148"/>
      <c r="P7" s="148"/>
      <c r="Q7" s="100"/>
      <c r="R7" s="1"/>
      <c r="S7" s="1"/>
    </row>
    <row r="8" spans="1:20" ht="16.5" customHeight="1" x14ac:dyDescent="0.25">
      <c r="A8" s="99"/>
      <c r="B8" s="142"/>
      <c r="C8" s="142"/>
      <c r="D8" s="143"/>
      <c r="E8" s="144"/>
      <c r="F8" s="144"/>
      <c r="G8" s="144"/>
      <c r="H8" s="142"/>
      <c r="I8" s="142"/>
      <c r="J8" s="145"/>
      <c r="K8" s="145"/>
      <c r="L8" s="145"/>
      <c r="M8" s="145"/>
      <c r="N8" s="145"/>
      <c r="O8" s="148"/>
      <c r="P8" s="148"/>
      <c r="Q8" s="100"/>
      <c r="R8" s="1"/>
      <c r="S8" s="1"/>
    </row>
    <row r="9" spans="1:20" ht="49.2" customHeight="1" x14ac:dyDescent="0.25">
      <c r="A9" s="99"/>
      <c r="B9" s="356" t="s">
        <v>21</v>
      </c>
      <c r="C9" s="356"/>
      <c r="D9" s="167" t="s">
        <v>22</v>
      </c>
      <c r="E9" s="153"/>
      <c r="F9" s="144"/>
      <c r="G9" s="144"/>
      <c r="H9" s="148"/>
      <c r="I9" s="148"/>
      <c r="J9" s="359" t="s">
        <v>23</v>
      </c>
      <c r="K9" s="359"/>
      <c r="L9" s="359"/>
      <c r="M9" s="154"/>
      <c r="N9" s="154"/>
      <c r="O9" s="148"/>
      <c r="P9" s="148"/>
      <c r="Q9" s="100"/>
      <c r="R9" s="1"/>
      <c r="S9" s="1"/>
    </row>
    <row r="10" spans="1:20" s="103" customFormat="1" ht="24" customHeight="1" x14ac:dyDescent="0.25">
      <c r="A10" s="104"/>
      <c r="B10" s="357" t="s">
        <v>24</v>
      </c>
      <c r="C10" s="357"/>
      <c r="D10" s="168">
        <f>'BASE BID'!E9</f>
        <v>222647.55406684216</v>
      </c>
      <c r="E10" s="155"/>
      <c r="F10" s="156"/>
      <c r="G10" s="157"/>
      <c r="H10" s="157"/>
      <c r="I10" s="157"/>
      <c r="J10" s="359"/>
      <c r="K10" s="359"/>
      <c r="L10" s="359"/>
      <c r="M10" s="156"/>
      <c r="N10" s="156"/>
      <c r="O10" s="148"/>
      <c r="P10" s="148"/>
      <c r="Q10" s="100"/>
      <c r="R10" s="1"/>
      <c r="S10" s="1"/>
      <c r="T10" s="1"/>
    </row>
    <row r="11" spans="1:20" s="103" customFormat="1" ht="24" customHeight="1" x14ac:dyDescent="0.25">
      <c r="A11" s="104"/>
      <c r="B11" s="357" t="s">
        <v>758</v>
      </c>
      <c r="C11" s="357"/>
      <c r="D11" s="168">
        <f>'BID ALT.'!E9</f>
        <v>179082.2771228826</v>
      </c>
      <c r="E11" s="155"/>
      <c r="F11" s="156"/>
      <c r="G11" s="157"/>
      <c r="H11" s="157"/>
      <c r="I11" s="157"/>
      <c r="J11" s="359"/>
      <c r="K11" s="359"/>
      <c r="L11" s="359"/>
      <c r="M11" s="156"/>
      <c r="N11" s="156"/>
      <c r="O11" s="148"/>
      <c r="P11" s="148"/>
      <c r="Q11" s="100"/>
      <c r="R11" s="1"/>
      <c r="S11" s="1"/>
      <c r="T11" s="1"/>
    </row>
    <row r="12" spans="1:20" s="103" customFormat="1" ht="24" customHeight="1" x14ac:dyDescent="0.25">
      <c r="A12" s="104"/>
      <c r="B12" s="357" t="s">
        <v>25</v>
      </c>
      <c r="C12" s="357"/>
      <c r="D12" s="168"/>
      <c r="E12" s="155"/>
      <c r="F12" s="156"/>
      <c r="G12" s="157" t="s">
        <v>792</v>
      </c>
      <c r="H12" s="157"/>
      <c r="I12" s="157"/>
      <c r="J12" s="359"/>
      <c r="K12" s="359"/>
      <c r="L12" s="359"/>
      <c r="M12" s="156"/>
      <c r="N12" s="156"/>
      <c r="O12" s="148"/>
      <c r="P12" s="148"/>
      <c r="Q12" s="100"/>
      <c r="R12" s="1"/>
      <c r="S12" s="1"/>
      <c r="T12" s="1"/>
    </row>
    <row r="13" spans="1:20" s="103" customFormat="1" ht="29.4" customHeight="1" x14ac:dyDescent="0.25">
      <c r="A13" s="104"/>
      <c r="B13" s="355" t="s">
        <v>26</v>
      </c>
      <c r="C13" s="355"/>
      <c r="D13" s="355"/>
      <c r="E13" s="153"/>
      <c r="F13" s="157"/>
      <c r="G13" s="157"/>
      <c r="H13" s="157"/>
      <c r="I13" s="157"/>
      <c r="J13" s="360" t="s">
        <v>27</v>
      </c>
      <c r="K13" s="360"/>
      <c r="L13" s="169">
        <v>0.05</v>
      </c>
      <c r="M13" s="156"/>
      <c r="N13" s="156"/>
      <c r="O13" s="148"/>
      <c r="P13" s="148"/>
      <c r="Q13" s="100"/>
      <c r="R13" s="1"/>
      <c r="S13" s="1"/>
      <c r="T13" s="1"/>
    </row>
    <row r="14" spans="1:20" s="103" customFormat="1" ht="29.4" customHeight="1" x14ac:dyDescent="0.25">
      <c r="A14" s="104"/>
      <c r="B14" s="348"/>
      <c r="C14" s="348"/>
      <c r="D14" s="105"/>
      <c r="E14" s="153"/>
      <c r="F14" s="158"/>
      <c r="G14" s="158"/>
      <c r="H14" s="159"/>
      <c r="I14" s="159"/>
      <c r="J14" s="159"/>
      <c r="K14" s="159"/>
      <c r="L14" s="159"/>
      <c r="M14" s="159"/>
      <c r="N14" s="160"/>
      <c r="O14" s="148"/>
      <c r="P14" s="148"/>
      <c r="Q14" s="100"/>
      <c r="R14" s="1"/>
      <c r="S14" s="1"/>
      <c r="T14" s="1"/>
    </row>
    <row r="15" spans="1:20" ht="30" customHeight="1" x14ac:dyDescent="0.25">
      <c r="A15" s="99"/>
      <c r="B15" s="348"/>
      <c r="C15" s="348"/>
      <c r="D15" s="105"/>
      <c r="E15" s="153"/>
      <c r="F15" s="158"/>
      <c r="G15" s="158"/>
      <c r="H15" s="142"/>
      <c r="I15" s="142"/>
      <c r="J15" s="162"/>
      <c r="K15" s="162"/>
      <c r="L15" s="162"/>
      <c r="M15" s="148"/>
      <c r="N15" s="148"/>
      <c r="O15" s="148"/>
      <c r="P15" s="148"/>
      <c r="Q15" s="100"/>
      <c r="R15" s="1"/>
      <c r="S15" s="1"/>
    </row>
    <row r="16" spans="1:20" s="103" customFormat="1" ht="29.4" customHeight="1" x14ac:dyDescent="0.25">
      <c r="A16" s="106"/>
      <c r="B16" s="163"/>
      <c r="C16" s="163"/>
      <c r="D16" s="107"/>
      <c r="E16" s="164"/>
      <c r="F16" s="164"/>
      <c r="G16" s="161"/>
      <c r="H16" s="159"/>
      <c r="I16" s="159"/>
      <c r="J16" s="346" t="s">
        <v>28</v>
      </c>
      <c r="K16" s="346"/>
      <c r="L16" s="346"/>
      <c r="M16" s="159"/>
      <c r="N16" s="160"/>
      <c r="O16" s="148"/>
      <c r="P16" s="148"/>
      <c r="Q16" s="100"/>
      <c r="R16" s="1"/>
      <c r="S16" s="1"/>
      <c r="T16" s="1"/>
    </row>
    <row r="17" spans="1:19" ht="18" x14ac:dyDescent="0.25">
      <c r="A17" s="99"/>
      <c r="B17" s="165"/>
      <c r="C17" s="165"/>
      <c r="D17" s="165"/>
      <c r="E17" s="165"/>
      <c r="F17" s="165"/>
      <c r="G17" s="165"/>
      <c r="H17" s="142"/>
      <c r="I17" s="142"/>
      <c r="J17" s="346"/>
      <c r="K17" s="346"/>
      <c r="L17" s="346"/>
      <c r="M17" s="148"/>
      <c r="N17" s="148"/>
      <c r="O17" s="148"/>
      <c r="P17" s="148"/>
      <c r="Q17" s="100"/>
      <c r="R17" s="1"/>
      <c r="S17" s="1"/>
    </row>
    <row r="18" spans="1:19" ht="24" customHeight="1" x14ac:dyDescent="0.25">
      <c r="A18" s="99"/>
      <c r="B18" s="356" t="s">
        <v>29</v>
      </c>
      <c r="C18" s="356"/>
      <c r="D18" s="356"/>
      <c r="E18" s="356"/>
      <c r="F18" s="356"/>
      <c r="G18" s="356"/>
      <c r="H18" s="142"/>
      <c r="I18" s="142"/>
      <c r="J18" s="347" t="s">
        <v>30</v>
      </c>
      <c r="K18" s="347"/>
      <c r="L18" s="347"/>
      <c r="M18" s="363" t="s">
        <v>31</v>
      </c>
      <c r="N18" s="148"/>
      <c r="O18" s="148"/>
      <c r="P18" s="148"/>
      <c r="Q18" s="100"/>
      <c r="R18" s="1"/>
      <c r="S18" s="1"/>
    </row>
    <row r="19" spans="1:19" ht="25.5" customHeight="1" x14ac:dyDescent="0.25">
      <c r="A19" s="99"/>
      <c r="B19" s="356"/>
      <c r="C19" s="356"/>
      <c r="D19" s="356"/>
      <c r="E19" s="356"/>
      <c r="F19" s="356"/>
      <c r="G19" s="356"/>
      <c r="H19" s="142"/>
      <c r="I19" s="142"/>
      <c r="J19" s="347"/>
      <c r="K19" s="347"/>
      <c r="L19" s="347"/>
      <c r="M19" s="363"/>
      <c r="N19" s="148"/>
      <c r="O19" s="148"/>
      <c r="P19" s="148"/>
      <c r="Q19" s="148"/>
      <c r="R19" s="361" t="s">
        <v>32</v>
      </c>
      <c r="S19" s="1"/>
    </row>
    <row r="20" spans="1:19" ht="43.35" customHeight="1" x14ac:dyDescent="0.25">
      <c r="A20" s="99"/>
      <c r="B20" s="170" t="s">
        <v>33</v>
      </c>
      <c r="C20" s="171" t="s">
        <v>34</v>
      </c>
      <c r="D20" s="172" t="s">
        <v>35</v>
      </c>
      <c r="E20" s="170" t="s">
        <v>36</v>
      </c>
      <c r="F20" s="172" t="s">
        <v>37</v>
      </c>
      <c r="G20" s="173" t="s">
        <v>38</v>
      </c>
      <c r="H20" s="142"/>
      <c r="I20" s="142"/>
      <c r="J20" s="189" t="s">
        <v>39</v>
      </c>
      <c r="K20" s="190" t="s">
        <v>40</v>
      </c>
      <c r="L20" s="190" t="s">
        <v>41</v>
      </c>
      <c r="M20" s="190" t="s">
        <v>42</v>
      </c>
      <c r="N20" s="362" t="s">
        <v>43</v>
      </c>
      <c r="O20" s="362"/>
      <c r="P20" s="362"/>
      <c r="Q20" s="148"/>
      <c r="R20" s="361"/>
      <c r="S20" s="1"/>
    </row>
    <row r="21" spans="1:19" ht="16.350000000000001" customHeight="1" x14ac:dyDescent="0.25">
      <c r="A21" s="99"/>
      <c r="B21" s="8" t="s">
        <v>44</v>
      </c>
      <c r="C21" s="73" t="s">
        <v>45</v>
      </c>
      <c r="D21" s="91">
        <f>SUMIF('BASE BID'!D:D, B21,'BASE BID'!N:N)</f>
        <v>24839.246272554337</v>
      </c>
      <c r="E21" s="91">
        <f>SUMIF('BASE BID'!D:D, B21, 'BASE BID'!P:P)</f>
        <v>0</v>
      </c>
      <c r="F21" s="174">
        <f>SUMIF('BASE BID'!D:D, B21, 'BASE BID'!Q:Q)</f>
        <v>24839.246272554337</v>
      </c>
      <c r="G21" s="175">
        <f>F21/F$25</f>
        <v>0.13115252617403017</v>
      </c>
      <c r="H21" s="142"/>
      <c r="I21" s="142"/>
      <c r="J21" s="191">
        <f>((D21*(1+$G$28))+(E21*(1+$G$26+$G$27)))*(1+$G$29)</f>
        <v>28741.491861972623</v>
      </c>
      <c r="K21" s="191">
        <f t="shared" ref="K21:K22" si="0">IF(R21="",J21,R21*(1+L$13))</f>
        <v>0</v>
      </c>
      <c r="L21" s="192">
        <f>J21-K21</f>
        <v>28741.491861972623</v>
      </c>
      <c r="M21" s="192"/>
      <c r="N21" s="197"/>
      <c r="O21" s="197"/>
      <c r="P21" s="197"/>
      <c r="Q21" s="148"/>
      <c r="R21" s="198">
        <v>0</v>
      </c>
      <c r="S21" s="1"/>
    </row>
    <row r="22" spans="1:19" x14ac:dyDescent="0.25">
      <c r="A22" s="99"/>
      <c r="B22" s="8" t="s">
        <v>46</v>
      </c>
      <c r="C22" s="73" t="s">
        <v>47</v>
      </c>
      <c r="D22" s="91">
        <f>SUMIF('BASE BID'!D:D, B22,'BASE BID'!N:N)</f>
        <v>37537.160708133335</v>
      </c>
      <c r="E22" s="91">
        <f>SUMIF('BASE BID'!D:D, B22, 'BASE BID'!P:P)</f>
        <v>0</v>
      </c>
      <c r="F22" s="174">
        <f>SUMIF('BASE BID'!D:D, B22, 'BASE BID'!Q:Q)</f>
        <v>37537.160708133335</v>
      </c>
      <c r="G22" s="175">
        <f>F22/F$25</f>
        <v>0.19819818195175731</v>
      </c>
      <c r="H22" s="142"/>
      <c r="I22" s="142"/>
      <c r="J22" s="191">
        <f>((D22*(1+$G$28))+(E22*(1+$G$26+$G$27)))*(1+$G$29)</f>
        <v>43434.248655381081</v>
      </c>
      <c r="K22" s="191">
        <f t="shared" si="0"/>
        <v>0</v>
      </c>
      <c r="L22" s="192">
        <f t="shared" ref="L22" si="1">J22-K22</f>
        <v>43434.248655381081</v>
      </c>
      <c r="M22" s="192"/>
      <c r="N22" s="197"/>
      <c r="O22" s="197"/>
      <c r="P22" s="197"/>
      <c r="Q22" s="148"/>
      <c r="R22" s="198">
        <v>0</v>
      </c>
      <c r="S22" s="1"/>
    </row>
    <row r="23" spans="1:19" x14ac:dyDescent="0.25">
      <c r="A23" s="99"/>
      <c r="B23" s="8" t="s">
        <v>69</v>
      </c>
      <c r="C23" s="73" t="s">
        <v>70</v>
      </c>
      <c r="D23" s="91">
        <f>SUMIF('BASE BID'!D:D, B23,'BASE BID'!N:N)</f>
        <v>54977.196149750001</v>
      </c>
      <c r="E23" s="91">
        <f>SUMIF('BASE BID'!D:D, B23, 'BASE BID'!P:P)</f>
        <v>64310.237576666674</v>
      </c>
      <c r="F23" s="174">
        <f>SUMIF('BASE BID'!D:D, B23, 'BASE BID'!Q:Q)</f>
        <v>119287.43372641665</v>
      </c>
      <c r="G23" s="175">
        <f>F23/F$25</f>
        <v>0.62984392128368383</v>
      </c>
      <c r="H23" s="142"/>
      <c r="I23" s="142"/>
      <c r="J23" s="191">
        <f>((D23*(1+$G$28))+(E23*(1+$G$26+$G$27)))*(1+$G$29)</f>
        <v>141225.95923071224</v>
      </c>
      <c r="K23" s="191">
        <f t="shared" ref="K23:K24" si="2">IF(R23="",J23,R23*(1+L$13))</f>
        <v>0</v>
      </c>
      <c r="L23" s="192">
        <f t="shared" ref="L23:L24" si="3">J23-K23</f>
        <v>141225.95923071224</v>
      </c>
      <c r="M23" s="192"/>
      <c r="N23" s="197"/>
      <c r="O23" s="197"/>
      <c r="P23" s="197"/>
      <c r="Q23" s="148"/>
      <c r="R23" s="198">
        <v>0</v>
      </c>
      <c r="S23" s="1"/>
    </row>
    <row r="24" spans="1:19" x14ac:dyDescent="0.25">
      <c r="A24" s="99"/>
      <c r="B24" s="8" t="s">
        <v>71</v>
      </c>
      <c r="C24" s="73" t="s">
        <v>72</v>
      </c>
      <c r="D24" s="91">
        <f>SUMIF('BASE BID'!D:D, B24,'BASE BID'!N:N)</f>
        <v>1625.0837358000001</v>
      </c>
      <c r="E24" s="91">
        <f>SUMIF('BASE BID'!D:D, B24, 'BASE BID'!P:P)</f>
        <v>6103.1291999999994</v>
      </c>
      <c r="F24" s="174">
        <f>SUMIF('BASE BID'!D:D, B24, 'BASE BID'!Q:Q)</f>
        <v>7728.2129357999993</v>
      </c>
      <c r="G24" s="175">
        <f>F24/F$25</f>
        <v>4.0805370590528682E-2</v>
      </c>
      <c r="H24" s="142"/>
      <c r="I24" s="142"/>
      <c r="J24" s="191">
        <f>((D24*(1+$G$28))+(E24*(1+$G$26+$G$27)))*(1+$G$29)</f>
        <v>9245.8543187761788</v>
      </c>
      <c r="K24" s="191">
        <f t="shared" si="2"/>
        <v>0</v>
      </c>
      <c r="L24" s="192">
        <f t="shared" si="3"/>
        <v>9245.8543187761788</v>
      </c>
      <c r="M24" s="192"/>
      <c r="N24" s="197"/>
      <c r="O24" s="197"/>
      <c r="P24" s="197"/>
      <c r="Q24" s="148"/>
      <c r="R24" s="198">
        <v>0</v>
      </c>
      <c r="S24" s="1"/>
    </row>
    <row r="25" spans="1:19" x14ac:dyDescent="0.25">
      <c r="A25" s="99"/>
      <c r="B25" s="176"/>
      <c r="C25" s="177" t="s">
        <v>73</v>
      </c>
      <c r="D25" s="178">
        <f>SUM(D21:D24)</f>
        <v>118978.68686623767</v>
      </c>
      <c r="E25" s="178">
        <f>SUM(E21:E24)</f>
        <v>70413.366776666677</v>
      </c>
      <c r="F25" s="179">
        <f>SUM(F21:F24)</f>
        <v>189392.05364290433</v>
      </c>
      <c r="G25" s="180">
        <f>SUM(G8:G24)</f>
        <v>1</v>
      </c>
      <c r="H25" s="142"/>
      <c r="I25" s="142"/>
      <c r="J25" s="193">
        <f>SUM(J21:J24)</f>
        <v>222647.5540668421</v>
      </c>
      <c r="K25" s="194">
        <f>SUM(K21:K24)</f>
        <v>0</v>
      </c>
      <c r="L25" s="195">
        <f>SUM(L21:L24)</f>
        <v>222647.5540668421</v>
      </c>
      <c r="M25" s="196">
        <f>SUM(M21:M24)</f>
        <v>0</v>
      </c>
      <c r="N25" s="197"/>
      <c r="O25" s="197"/>
      <c r="P25" s="197"/>
      <c r="Q25" s="148"/>
      <c r="R25" s="193">
        <f>SUM(R21:R24)</f>
        <v>0</v>
      </c>
      <c r="S25" s="1"/>
    </row>
    <row r="26" spans="1:19" x14ac:dyDescent="0.25">
      <c r="A26" s="99"/>
      <c r="B26" s="176"/>
      <c r="C26" s="177" t="s">
        <v>74</v>
      </c>
      <c r="D26" s="181">
        <v>0</v>
      </c>
      <c r="E26" s="178">
        <f>E25*G26</f>
        <v>6266.7896431233339</v>
      </c>
      <c r="F26" s="182">
        <f>D26+E26</f>
        <v>6266.7896431233339</v>
      </c>
      <c r="G26" s="183">
        <f>'BASE BID'!D5</f>
        <v>8.8999999999999996E-2</v>
      </c>
      <c r="H26" s="142"/>
      <c r="I26" s="142"/>
      <c r="J26" s="148"/>
      <c r="K26" s="148"/>
      <c r="L26" s="148"/>
      <c r="M26" s="148"/>
      <c r="N26" s="148"/>
      <c r="O26" s="148"/>
      <c r="P26" s="148"/>
      <c r="Q26" s="101"/>
      <c r="R26" s="1"/>
      <c r="S26" s="1"/>
    </row>
    <row r="27" spans="1:19" x14ac:dyDescent="0.25">
      <c r="A27" s="99"/>
      <c r="B27" s="176"/>
      <c r="C27" s="177" t="s">
        <v>75</v>
      </c>
      <c r="D27" s="181">
        <v>0</v>
      </c>
      <c r="E27" s="178">
        <f>E25*G27</f>
        <v>7041.336677666668</v>
      </c>
      <c r="F27" s="182">
        <f>D27+E27</f>
        <v>7041.336677666668</v>
      </c>
      <c r="G27" s="183">
        <f>'BASE BID'!D6</f>
        <v>0.1</v>
      </c>
      <c r="H27" s="142"/>
      <c r="I27" s="142"/>
      <c r="J27" s="148"/>
      <c r="K27" s="148"/>
      <c r="L27" s="148"/>
      <c r="M27" s="148"/>
      <c r="N27" s="148"/>
      <c r="O27" s="148"/>
      <c r="P27" s="148"/>
      <c r="Q27" s="101"/>
      <c r="R27" s="1"/>
      <c r="S27" s="1"/>
    </row>
    <row r="28" spans="1:19" x14ac:dyDescent="0.25">
      <c r="A28" s="99"/>
      <c r="B28" s="176"/>
      <c r="C28" s="177" t="s">
        <v>76</v>
      </c>
      <c r="D28" s="181">
        <f>D25*G28</f>
        <v>16657.016161273274</v>
      </c>
      <c r="E28" s="178">
        <v>0</v>
      </c>
      <c r="F28" s="182">
        <f>D28+E28</f>
        <v>16657.016161273274</v>
      </c>
      <c r="G28" s="183">
        <f>'BASE BID'!D7</f>
        <v>0.14000000000000001</v>
      </c>
      <c r="H28" s="142"/>
      <c r="I28" s="142"/>
      <c r="J28" s="148"/>
      <c r="K28" s="148"/>
      <c r="L28" s="148"/>
      <c r="M28" s="148"/>
      <c r="N28" s="148"/>
      <c r="O28" s="148"/>
      <c r="P28" s="148"/>
      <c r="Q28" s="101"/>
      <c r="R28" s="1"/>
      <c r="S28" s="1"/>
    </row>
    <row r="29" spans="1:19" x14ac:dyDescent="0.25">
      <c r="A29" s="99"/>
      <c r="B29" s="176"/>
      <c r="C29" s="177" t="s">
        <v>12</v>
      </c>
      <c r="D29" s="181"/>
      <c r="E29" s="182"/>
      <c r="F29" s="182">
        <f>SUM(F25:F28)*G29</f>
        <v>3290.3579418745139</v>
      </c>
      <c r="G29" s="183">
        <f>'BASE BID'!D8</f>
        <v>1.4999999999999999E-2</v>
      </c>
      <c r="H29" s="142"/>
      <c r="I29" s="142"/>
      <c r="J29" s="148"/>
      <c r="K29" s="148"/>
      <c r="L29" s="148"/>
      <c r="M29" s="148"/>
      <c r="N29" s="148"/>
      <c r="O29" s="148"/>
      <c r="P29" s="148"/>
      <c r="Q29" s="101"/>
      <c r="R29" s="1"/>
      <c r="S29" s="1"/>
    </row>
    <row r="30" spans="1:19" x14ac:dyDescent="0.25">
      <c r="A30" s="99"/>
      <c r="B30" s="184"/>
      <c r="C30" s="185" t="s">
        <v>77</v>
      </c>
      <c r="D30" s="186"/>
      <c r="E30" s="187"/>
      <c r="F30" s="187">
        <f>F25+F26+F27+F28+F29</f>
        <v>222647.5540668421</v>
      </c>
      <c r="G30" s="188"/>
      <c r="H30" s="142"/>
      <c r="I30" s="142"/>
      <c r="J30" s="148"/>
      <c r="K30" s="148"/>
      <c r="L30" s="148"/>
      <c r="M30" s="148"/>
      <c r="N30" s="148"/>
      <c r="O30" s="148"/>
      <c r="P30" s="148"/>
      <c r="Q30" s="101"/>
      <c r="R30" s="1"/>
      <c r="S30" s="1"/>
    </row>
    <row r="31" spans="1:19" x14ac:dyDescent="0.25">
      <c r="A31" s="108"/>
      <c r="B31" s="142"/>
      <c r="C31" s="142"/>
      <c r="D31" s="143"/>
      <c r="E31" s="142"/>
      <c r="F31" s="144"/>
      <c r="G31" s="144"/>
      <c r="H31" s="142"/>
      <c r="I31" s="142"/>
      <c r="J31" s="148"/>
      <c r="K31" s="148"/>
      <c r="L31" s="148"/>
      <c r="M31" s="148"/>
      <c r="N31" s="148"/>
      <c r="O31" s="148"/>
      <c r="P31" s="148"/>
      <c r="Q31" s="101"/>
      <c r="R31" s="1"/>
      <c r="S31" s="1"/>
    </row>
    <row r="32" spans="1:19" ht="30" customHeight="1" x14ac:dyDescent="0.25">
      <c r="A32" s="99"/>
      <c r="B32" s="142"/>
      <c r="C32" s="142"/>
      <c r="D32" s="143"/>
      <c r="E32" s="142"/>
      <c r="F32" s="144"/>
      <c r="G32" s="144"/>
      <c r="H32" s="142"/>
      <c r="I32" s="142"/>
      <c r="J32" s="346" t="s">
        <v>28</v>
      </c>
      <c r="K32" s="346"/>
      <c r="L32" s="346"/>
      <c r="M32" s="148"/>
      <c r="N32" s="148"/>
      <c r="O32" s="148"/>
      <c r="P32" s="148"/>
      <c r="Q32" s="101"/>
      <c r="R32" s="1"/>
      <c r="S32" s="1"/>
    </row>
    <row r="33" spans="1:19" ht="30" customHeight="1" x14ac:dyDescent="0.25">
      <c r="A33" s="99"/>
      <c r="B33" s="142"/>
      <c r="C33" s="142"/>
      <c r="D33" s="143"/>
      <c r="E33" s="142"/>
      <c r="F33" s="144"/>
      <c r="G33" s="144"/>
      <c r="H33" s="142"/>
      <c r="I33" s="142"/>
      <c r="J33" s="346"/>
      <c r="K33" s="346"/>
      <c r="L33" s="346"/>
      <c r="M33" s="148"/>
      <c r="N33" s="148"/>
      <c r="O33" s="148"/>
      <c r="P33" s="148"/>
      <c r="Q33" s="101"/>
      <c r="R33" s="1"/>
      <c r="S33" s="1"/>
    </row>
    <row r="34" spans="1:19" ht="24" customHeight="1" x14ac:dyDescent="0.25">
      <c r="A34" s="99"/>
      <c r="B34" s="364" t="s">
        <v>78</v>
      </c>
      <c r="C34" s="364"/>
      <c r="D34" s="364"/>
      <c r="E34" s="364"/>
      <c r="F34" s="364"/>
      <c r="G34" s="364"/>
      <c r="H34" s="142"/>
      <c r="I34" s="142"/>
      <c r="J34" s="347" t="s">
        <v>30</v>
      </c>
      <c r="K34" s="347"/>
      <c r="L34" s="347"/>
      <c r="M34" s="363" t="s">
        <v>31</v>
      </c>
      <c r="N34" s="148"/>
      <c r="O34" s="148"/>
      <c r="P34" s="148"/>
      <c r="Q34" s="101"/>
      <c r="R34" s="1"/>
      <c r="S34" s="1"/>
    </row>
    <row r="35" spans="1:19" ht="23.25" customHeight="1" x14ac:dyDescent="0.25">
      <c r="A35" s="99"/>
      <c r="B35" s="364"/>
      <c r="C35" s="364"/>
      <c r="D35" s="364"/>
      <c r="E35" s="364"/>
      <c r="F35" s="364"/>
      <c r="G35" s="364"/>
      <c r="H35" s="142"/>
      <c r="I35" s="142"/>
      <c r="J35" s="347"/>
      <c r="K35" s="347"/>
      <c r="L35" s="347"/>
      <c r="M35" s="363"/>
      <c r="N35" s="148"/>
      <c r="O35" s="148"/>
      <c r="P35" s="148"/>
      <c r="Q35" s="148"/>
      <c r="R35" s="361" t="s">
        <v>32</v>
      </c>
      <c r="S35" s="1"/>
    </row>
    <row r="36" spans="1:19" ht="46.8" x14ac:dyDescent="0.25">
      <c r="A36" s="99"/>
      <c r="B36" s="366" t="s">
        <v>79</v>
      </c>
      <c r="C36" s="366"/>
      <c r="D36" s="199" t="s">
        <v>35</v>
      </c>
      <c r="E36" s="200" t="s">
        <v>36</v>
      </c>
      <c r="F36" s="199" t="s">
        <v>37</v>
      </c>
      <c r="G36" s="201" t="s">
        <v>38</v>
      </c>
      <c r="H36" s="166"/>
      <c r="I36" s="166"/>
      <c r="J36" s="189" t="s">
        <v>80</v>
      </c>
      <c r="K36" s="190" t="s">
        <v>40</v>
      </c>
      <c r="L36" s="190" t="s">
        <v>41</v>
      </c>
      <c r="M36" s="190" t="s">
        <v>42</v>
      </c>
      <c r="N36" s="362" t="s">
        <v>43</v>
      </c>
      <c r="O36" s="362"/>
      <c r="P36" s="362"/>
      <c r="Q36" s="148"/>
      <c r="R36" s="361"/>
      <c r="S36" s="1"/>
    </row>
    <row r="37" spans="1:19" ht="16.350000000000001" customHeight="1" x14ac:dyDescent="0.25">
      <c r="A37" s="99"/>
      <c r="B37" s="367" t="s">
        <v>45</v>
      </c>
      <c r="C37" s="367"/>
      <c r="D37" s="91">
        <f>SUMIF('BASE BID'!E:E, B37, 'BASE BID'!N:N)</f>
        <v>24839.246272554337</v>
      </c>
      <c r="E37" s="91">
        <f>SUMIF('BASE BID'!E:E, B37, 'BASE BID'!P:P)</f>
        <v>0</v>
      </c>
      <c r="F37" s="202">
        <f>SUMIF('BASE BID'!E:E, B37, 'BASE BID'!Q:Q)</f>
        <v>24839.246272554337</v>
      </c>
      <c r="G37" s="175">
        <f>F37/F$25</f>
        <v>0.13115252617403017</v>
      </c>
      <c r="H37" s="142"/>
      <c r="I37" s="142"/>
      <c r="J37" s="191">
        <f>((D37*(1+$G$44))+(E37*(1+$G$43+$G$42)))*(1+$G$45)</f>
        <v>28741.491861972623</v>
      </c>
      <c r="K37" s="203">
        <f t="shared" ref="K37" si="4">IF(R37="",J37,R37*(1+L$13))</f>
        <v>0</v>
      </c>
      <c r="L37" s="192">
        <f>J37-K37</f>
        <v>28741.491861972623</v>
      </c>
      <c r="M37" s="192"/>
      <c r="N37" s="197"/>
      <c r="O37" s="197"/>
      <c r="P37" s="197"/>
      <c r="Q37" s="148"/>
      <c r="R37" s="198">
        <v>0</v>
      </c>
      <c r="S37" s="1"/>
    </row>
    <row r="38" spans="1:19" ht="15" customHeight="1" x14ac:dyDescent="0.3">
      <c r="A38" s="99"/>
      <c r="B38" s="369" t="s">
        <v>103</v>
      </c>
      <c r="C38" s="369"/>
      <c r="D38" s="91">
        <f>SUMIF('BASE BID'!E:E, B38, 'BASE BID'!N:N)</f>
        <v>47280.269474550005</v>
      </c>
      <c r="E38" s="91">
        <f>SUMIF('BASE BID'!E:E, B38, 'BASE BID'!P:P)</f>
        <v>0</v>
      </c>
      <c r="F38" s="202">
        <f>SUMIF('BASE BID'!E:E, B38, 'BASE BID'!Q:Q)</f>
        <v>47280.269474550005</v>
      </c>
      <c r="G38" s="175">
        <f t="shared" ref="G38" si="5">F38/F$25</f>
        <v>0.2496423084555395</v>
      </c>
      <c r="H38" s="142"/>
      <c r="I38" s="142"/>
      <c r="J38" s="191">
        <f>((D38*(1+$G$44))+(E38*(1+$G$43+$G$42)))*(1+$G$45)</f>
        <v>54707.999809001813</v>
      </c>
      <c r="K38" s="191">
        <f t="shared" ref="K38" si="6">IF(R38="",J38,R38*(1+L$13))</f>
        <v>0</v>
      </c>
      <c r="L38" s="192">
        <f t="shared" ref="L38" si="7">J38-K38</f>
        <v>54707.999809001813</v>
      </c>
      <c r="M38" s="192"/>
      <c r="N38" s="197"/>
      <c r="O38" s="197"/>
      <c r="P38" s="197"/>
      <c r="Q38" s="148"/>
      <c r="R38" s="198">
        <v>0</v>
      </c>
      <c r="S38" s="1"/>
    </row>
    <row r="39" spans="1:19" ht="15" customHeight="1" x14ac:dyDescent="0.3">
      <c r="A39" s="99"/>
      <c r="B39" s="369" t="s">
        <v>155</v>
      </c>
      <c r="C39" s="369"/>
      <c r="D39" s="91">
        <f>SUMIF('BASE BID'!E:E, B39, 'BASE BID'!N:N)</f>
        <v>45234.087383333332</v>
      </c>
      <c r="E39" s="91">
        <f>SUMIF('BASE BID'!E:E, B39, 'BASE BID'!P:P)</f>
        <v>64310.237576666674</v>
      </c>
      <c r="F39" s="202">
        <f>SUMIF('BASE BID'!E:E, B39, 'BASE BID'!Q:Q)</f>
        <v>109544.32496000001</v>
      </c>
      <c r="G39" s="175">
        <f t="shared" ref="G39:G40" si="8">F39/F$25</f>
        <v>0.57839979477990178</v>
      </c>
      <c r="H39" s="142"/>
      <c r="I39" s="142"/>
      <c r="J39" s="191">
        <f>((D39*(1+$G$44))+(E39*(1+$G$43+$G$42)))*(1+$G$45)</f>
        <v>129952.20807709152</v>
      </c>
      <c r="K39" s="191">
        <f t="shared" ref="K39:K40" si="9">IF(R39="",J39,R39*(1+L$13))</f>
        <v>0</v>
      </c>
      <c r="L39" s="192">
        <f t="shared" ref="L39:L40" si="10">J39-K39</f>
        <v>129952.20807709152</v>
      </c>
      <c r="M39" s="192"/>
      <c r="N39" s="197"/>
      <c r="O39" s="197"/>
      <c r="P39" s="197"/>
      <c r="Q39" s="148"/>
      <c r="R39" s="198">
        <v>0</v>
      </c>
      <c r="S39" s="1"/>
    </row>
    <row r="40" spans="1:19" ht="15" customHeight="1" x14ac:dyDescent="0.3">
      <c r="A40" s="99"/>
      <c r="B40" s="369" t="s">
        <v>72</v>
      </c>
      <c r="C40" s="369"/>
      <c r="D40" s="91">
        <f>SUMIF('BASE BID'!E:E, B40, 'BASE BID'!N:N)</f>
        <v>1625.0837358000001</v>
      </c>
      <c r="E40" s="91">
        <f>SUMIF('BASE BID'!E:E, B40, 'BASE BID'!P:P)</f>
        <v>6103.1291999999994</v>
      </c>
      <c r="F40" s="202">
        <f>SUMIF('BASE BID'!E:E, B40, 'BASE BID'!Q:Q)</f>
        <v>7728.2129357999993</v>
      </c>
      <c r="G40" s="175">
        <f t="shared" si="8"/>
        <v>4.0805370590528682E-2</v>
      </c>
      <c r="H40" s="142"/>
      <c r="I40" s="142"/>
      <c r="J40" s="191">
        <f>((D40*(1+$G$44))+(E40*(1+$G$43+$G$42)))*(1+$G$45)</f>
        <v>9245.8543187761788</v>
      </c>
      <c r="K40" s="191">
        <f t="shared" si="9"/>
        <v>0</v>
      </c>
      <c r="L40" s="192">
        <f t="shared" si="10"/>
        <v>9245.8543187761788</v>
      </c>
      <c r="M40" s="192"/>
      <c r="N40" s="197"/>
      <c r="O40" s="197"/>
      <c r="P40" s="197"/>
      <c r="Q40" s="148"/>
      <c r="R40" s="198">
        <v>0</v>
      </c>
      <c r="S40" s="1"/>
    </row>
    <row r="41" spans="1:19" x14ac:dyDescent="0.25">
      <c r="A41" s="99"/>
      <c r="B41" s="368" t="s">
        <v>73</v>
      </c>
      <c r="C41" s="368"/>
      <c r="D41" s="178">
        <f>SUM(D37:D40)</f>
        <v>118978.68686623767</v>
      </c>
      <c r="E41" s="178">
        <f>SUM(E37:E40)</f>
        <v>70413.366776666677</v>
      </c>
      <c r="F41" s="179">
        <f>SUM(F37:F40)</f>
        <v>189392.05364290436</v>
      </c>
      <c r="G41" s="180">
        <f>SUM(G37:G40)</f>
        <v>1</v>
      </c>
      <c r="H41" s="142"/>
      <c r="I41" s="142"/>
      <c r="J41" s="193">
        <f>SUM(J37:J40)</f>
        <v>222647.55406684213</v>
      </c>
      <c r="K41" s="194">
        <f>SUM(K37:K40)</f>
        <v>0</v>
      </c>
      <c r="L41" s="196">
        <f>SUM(L37:L40)</f>
        <v>222647.55406684213</v>
      </c>
      <c r="M41" s="196">
        <f>SUM(M37:M40)</f>
        <v>0</v>
      </c>
      <c r="N41" s="197"/>
      <c r="O41" s="197"/>
      <c r="P41" s="197"/>
      <c r="Q41" s="148"/>
      <c r="R41" s="193">
        <f>SUM(R37:R40)</f>
        <v>0</v>
      </c>
      <c r="S41" s="1"/>
    </row>
    <row r="42" spans="1:19" x14ac:dyDescent="0.25">
      <c r="A42" s="99"/>
      <c r="B42" s="368" t="s">
        <v>74</v>
      </c>
      <c r="C42" s="368"/>
      <c r="D42" s="181">
        <v>0</v>
      </c>
      <c r="E42" s="178">
        <f>E41*G42</f>
        <v>6266.7896431233339</v>
      </c>
      <c r="F42" s="182">
        <f>D42+E42</f>
        <v>6266.7896431233339</v>
      </c>
      <c r="G42" s="183">
        <f>G26</f>
        <v>8.8999999999999996E-2</v>
      </c>
      <c r="H42" s="142"/>
      <c r="I42" s="142"/>
      <c r="J42" s="148"/>
      <c r="K42" s="148"/>
      <c r="L42" s="148"/>
      <c r="M42" s="148"/>
      <c r="N42" s="148"/>
      <c r="O42" s="148"/>
      <c r="P42" s="148"/>
      <c r="Q42" s="101"/>
      <c r="R42" s="1"/>
      <c r="S42" s="1"/>
    </row>
    <row r="43" spans="1:19" x14ac:dyDescent="0.25">
      <c r="A43" s="99"/>
      <c r="B43" s="368" t="s">
        <v>75</v>
      </c>
      <c r="C43" s="368"/>
      <c r="D43" s="181">
        <v>0</v>
      </c>
      <c r="E43" s="178">
        <f>E41*G43</f>
        <v>7041.336677666668</v>
      </c>
      <c r="F43" s="182">
        <f>D43+E43</f>
        <v>7041.336677666668</v>
      </c>
      <c r="G43" s="183">
        <f>G27</f>
        <v>0.1</v>
      </c>
      <c r="H43" s="142"/>
      <c r="I43" s="142"/>
      <c r="J43" s="148"/>
      <c r="K43" s="148"/>
      <c r="L43" s="148"/>
      <c r="M43" s="148"/>
      <c r="N43" s="148"/>
      <c r="O43" s="148"/>
      <c r="P43" s="148"/>
      <c r="Q43" s="101"/>
      <c r="R43" s="1"/>
      <c r="S43" s="1"/>
    </row>
    <row r="44" spans="1:19" x14ac:dyDescent="0.25">
      <c r="A44" s="99"/>
      <c r="B44" s="368" t="s">
        <v>76</v>
      </c>
      <c r="C44" s="368"/>
      <c r="D44" s="181">
        <f>D41*G44</f>
        <v>16657.016161273274</v>
      </c>
      <c r="E44" s="178">
        <v>0</v>
      </c>
      <c r="F44" s="182">
        <f>D44+E44</f>
        <v>16657.016161273274</v>
      </c>
      <c r="G44" s="183">
        <f>G28</f>
        <v>0.14000000000000001</v>
      </c>
      <c r="H44" s="142"/>
      <c r="I44" s="142"/>
      <c r="J44" s="148"/>
      <c r="K44" s="148"/>
      <c r="L44" s="148"/>
      <c r="M44" s="148"/>
      <c r="N44" s="148"/>
      <c r="O44" s="148"/>
      <c r="P44" s="148"/>
      <c r="Q44" s="101"/>
      <c r="R44" s="1"/>
      <c r="S44" s="1"/>
    </row>
    <row r="45" spans="1:19" x14ac:dyDescent="0.25">
      <c r="A45" s="99"/>
      <c r="B45" s="368" t="s">
        <v>12</v>
      </c>
      <c r="C45" s="368"/>
      <c r="D45" s="181"/>
      <c r="E45" s="182"/>
      <c r="F45" s="182">
        <f>SUM(F41:F44)*G45</f>
        <v>3290.3579418745144</v>
      </c>
      <c r="G45" s="183">
        <f>G29</f>
        <v>1.4999999999999999E-2</v>
      </c>
      <c r="H45" s="142"/>
      <c r="I45" s="142"/>
      <c r="J45" s="148"/>
      <c r="K45" s="148"/>
      <c r="L45" s="148"/>
      <c r="M45" s="148"/>
      <c r="N45" s="148"/>
      <c r="O45" s="148"/>
      <c r="P45" s="148"/>
      <c r="Q45" s="101"/>
      <c r="R45" s="1"/>
      <c r="S45" s="1"/>
    </row>
    <row r="46" spans="1:19" x14ac:dyDescent="0.25">
      <c r="A46" s="99"/>
      <c r="B46" s="365" t="s">
        <v>77</v>
      </c>
      <c r="C46" s="365"/>
      <c r="D46" s="186"/>
      <c r="E46" s="187"/>
      <c r="F46" s="187">
        <f>F41+F42+F43+F44+F45</f>
        <v>222647.55406684213</v>
      </c>
      <c r="G46" s="188"/>
      <c r="I46" s="142"/>
      <c r="J46" s="148"/>
      <c r="K46" s="148"/>
      <c r="L46" s="148"/>
      <c r="M46" s="148"/>
      <c r="N46" s="148"/>
      <c r="O46" s="148"/>
      <c r="P46" s="148"/>
      <c r="Q46" s="101"/>
      <c r="R46" s="1"/>
      <c r="S46" s="1"/>
    </row>
    <row r="47" spans="1:19" x14ac:dyDescent="0.25">
      <c r="A47" s="99"/>
      <c r="B47" s="142"/>
      <c r="C47" s="142"/>
      <c r="D47" s="143"/>
      <c r="E47" s="144"/>
      <c r="F47" s="144"/>
      <c r="G47" s="144"/>
      <c r="H47" s="142"/>
      <c r="I47" s="142"/>
      <c r="J47" s="148"/>
      <c r="K47" s="148"/>
      <c r="L47" s="148"/>
      <c r="M47" s="148"/>
      <c r="N47" s="148"/>
      <c r="O47" s="148"/>
      <c r="P47" s="148"/>
      <c r="Q47" s="101"/>
      <c r="R47" s="1"/>
      <c r="S47" s="1"/>
    </row>
    <row r="48" spans="1:19" x14ac:dyDescent="0.25">
      <c r="A48" s="109"/>
      <c r="B48" s="142"/>
      <c r="C48" s="142"/>
      <c r="D48" s="143"/>
      <c r="E48" s="144"/>
      <c r="F48" s="144"/>
      <c r="G48" s="144"/>
      <c r="H48" s="142"/>
      <c r="I48" s="142"/>
      <c r="J48" s="148"/>
      <c r="K48" s="148"/>
      <c r="L48" s="148"/>
      <c r="M48" s="148"/>
      <c r="N48" s="148"/>
      <c r="O48" s="148"/>
      <c r="P48" s="148"/>
      <c r="Q48" s="101"/>
      <c r="R48" s="1"/>
      <c r="S48" s="1"/>
    </row>
    <row r="49" spans="1:19" x14ac:dyDescent="0.25">
      <c r="A49" s="110"/>
      <c r="B49" s="111"/>
      <c r="C49" s="111"/>
      <c r="D49" s="112"/>
      <c r="E49" s="113"/>
      <c r="F49" s="113"/>
      <c r="G49" s="113"/>
      <c r="H49" s="111"/>
      <c r="I49" s="111"/>
      <c r="J49" s="114"/>
      <c r="K49" s="114"/>
      <c r="L49" s="114"/>
      <c r="M49" s="114"/>
      <c r="N49" s="114"/>
      <c r="O49" s="114"/>
      <c r="P49" s="114"/>
      <c r="Q49" s="115"/>
      <c r="R49" s="1"/>
      <c r="S49" s="1"/>
    </row>
    <row r="50" spans="1:19" x14ac:dyDescent="0.25">
      <c r="R50" s="1"/>
      <c r="S50" s="1"/>
    </row>
    <row r="51" spans="1:19" x14ac:dyDescent="0.25">
      <c r="R51" s="1"/>
      <c r="S51" s="1"/>
    </row>
  </sheetData>
  <sortState xmlns:xlrd2="http://schemas.microsoft.com/office/spreadsheetml/2017/richdata2" ref="B25:C37">
    <sortCondition ref="B25:B37"/>
  </sortState>
  <mergeCells count="34">
    <mergeCell ref="B34:G35"/>
    <mergeCell ref="B46:C46"/>
    <mergeCell ref="B36:C36"/>
    <mergeCell ref="B37:C37"/>
    <mergeCell ref="B41:C41"/>
    <mergeCell ref="B42:C42"/>
    <mergeCell ref="B43:C43"/>
    <mergeCell ref="B44:C44"/>
    <mergeCell ref="B45:C45"/>
    <mergeCell ref="B38:C38"/>
    <mergeCell ref="B39:C39"/>
    <mergeCell ref="B40:C40"/>
    <mergeCell ref="R19:R20"/>
    <mergeCell ref="R35:R36"/>
    <mergeCell ref="N36:P36"/>
    <mergeCell ref="N20:P20"/>
    <mergeCell ref="J34:L35"/>
    <mergeCell ref="J32:L33"/>
    <mergeCell ref="M34:M35"/>
    <mergeCell ref="M18:M19"/>
    <mergeCell ref="J16:L17"/>
    <mergeCell ref="J18:L19"/>
    <mergeCell ref="B14:C14"/>
    <mergeCell ref="B15:C15"/>
    <mergeCell ref="A1:Q2"/>
    <mergeCell ref="B13:D13"/>
    <mergeCell ref="B9:C9"/>
    <mergeCell ref="B12:C12"/>
    <mergeCell ref="D6:I7"/>
    <mergeCell ref="J9:L12"/>
    <mergeCell ref="B10:C10"/>
    <mergeCell ref="B11:C11"/>
    <mergeCell ref="J13:K13"/>
    <mergeCell ref="B18:G19"/>
  </mergeCells>
  <phoneticPr fontId="49" type="noConversion"/>
  <conditionalFormatting sqref="D10:D12 D14:D15">
    <cfRule type="expression" dxfId="1" priority="6" stopIfTrue="1">
      <formula>$D$12&lt;&gt;SUM(#REF!)</formula>
    </cfRule>
  </conditionalFormatting>
  <conditionalFormatting sqref="D16">
    <cfRule type="expression" dxfId="0" priority="1" stopIfTrue="1">
      <formula>$D$12&lt;&gt;SUM(#REF!)</formula>
    </cfRule>
  </conditionalFormatting>
  <hyperlinks>
    <hyperlink ref="B13" location="'HOURLY RATES'!A1" display="Hourly Rates" xr:uid="{00000000-0004-0000-0200-000000000000}"/>
    <hyperlink ref="B12:C12" location="'SEPARATE PERMIT'!A1" display="Separate Permit" xr:uid="{00000000-0004-0000-0200-000001000000}"/>
    <hyperlink ref="B10:C10" location="'BASE BID'!A1" display="Base bid" xr:uid="{00000000-0004-0000-0200-000002000000}"/>
    <hyperlink ref="B11:C11" location="'By Others'!A1" display="By Others" xr:uid="{00000000-0004-0000-0200-000003000000}"/>
  </hyperlinks>
  <printOptions horizontalCentered="1"/>
  <pageMargins left="0.25" right="0.25" top="0.75" bottom="0.75" header="0.3" footer="0.3"/>
  <pageSetup paperSize="9" scale="31" fitToHeight="0" orientation="portrait" r:id="rId1"/>
  <headerFooter>
    <oddFooter>&amp;C&amp;P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0">
    <tabColor theme="0"/>
    <pageSetUpPr fitToPage="1"/>
  </sheetPr>
  <dimension ref="B1:M126"/>
  <sheetViews>
    <sheetView topLeftCell="A24" zoomScale="70" zoomScaleNormal="70" workbookViewId="0">
      <selection activeCell="D29" sqref="D29"/>
    </sheetView>
  </sheetViews>
  <sheetFormatPr defaultColWidth="8.81640625" defaultRowHeight="15.6" x14ac:dyDescent="0.3"/>
  <cols>
    <col min="1" max="1" width="8.81640625" style="92"/>
    <col min="2" max="2" width="11.08984375" style="92" customWidth="1"/>
    <col min="3" max="3" width="33.6328125" style="92" customWidth="1"/>
    <col min="4" max="4" width="14.54296875" style="92" bestFit="1" customWidth="1"/>
    <col min="5" max="16384" width="8.81640625" style="92"/>
  </cols>
  <sheetData>
    <row r="1" spans="2:13" ht="25.5" customHeight="1" x14ac:dyDescent="0.3">
      <c r="B1" s="204"/>
      <c r="C1" s="205"/>
      <c r="D1" s="205"/>
      <c r="E1" s="205"/>
      <c r="F1" s="205"/>
      <c r="G1" s="205"/>
      <c r="H1" s="205"/>
      <c r="I1" s="205"/>
      <c r="J1" s="206"/>
      <c r="K1" s="206"/>
      <c r="L1" s="206"/>
      <c r="M1" s="207"/>
    </row>
    <row r="2" spans="2:13" ht="16.5" customHeight="1" x14ac:dyDescent="0.3">
      <c r="B2" s="370" t="s">
        <v>263</v>
      </c>
      <c r="C2" s="371"/>
      <c r="D2" s="371"/>
      <c r="E2" s="371"/>
      <c r="F2" s="371"/>
      <c r="G2" s="371"/>
      <c r="H2" s="371"/>
      <c r="I2" s="371"/>
      <c r="J2" s="371"/>
      <c r="K2" s="371"/>
      <c r="L2" s="371"/>
      <c r="M2" s="372"/>
    </row>
    <row r="3" spans="2:13" ht="18" customHeight="1" thickBot="1" x14ac:dyDescent="0.35">
      <c r="B3" s="373"/>
      <c r="C3" s="374"/>
      <c r="D3" s="374"/>
      <c r="E3" s="374"/>
      <c r="F3" s="374"/>
      <c r="G3" s="374"/>
      <c r="H3" s="374"/>
      <c r="I3" s="374"/>
      <c r="J3" s="374"/>
      <c r="K3" s="374"/>
      <c r="L3" s="374"/>
      <c r="M3" s="375"/>
    </row>
    <row r="4" spans="2:13" ht="24.75" customHeight="1" thickBot="1" x14ac:dyDescent="0.35">
      <c r="B4" s="376" t="s">
        <v>264</v>
      </c>
      <c r="C4" s="377"/>
      <c r="D4" s="377"/>
      <c r="E4" s="378"/>
      <c r="F4" s="378"/>
      <c r="G4" s="378"/>
      <c r="H4" s="378"/>
      <c r="I4" s="378"/>
      <c r="J4" s="378"/>
      <c r="K4" s="378"/>
      <c r="L4" s="378"/>
      <c r="M4" s="379"/>
    </row>
    <row r="5" spans="2:13" ht="42" customHeight="1" thickBot="1" x14ac:dyDescent="0.35">
      <c r="B5" s="70" t="s">
        <v>265</v>
      </c>
      <c r="C5" s="70" t="s">
        <v>266</v>
      </c>
      <c r="D5" s="70" t="s">
        <v>267</v>
      </c>
      <c r="M5" s="128"/>
    </row>
    <row r="6" spans="2:13" ht="16.2" thickBot="1" x14ac:dyDescent="0.35">
      <c r="B6" s="11" t="s">
        <v>268</v>
      </c>
      <c r="C6" s="11" t="s">
        <v>45</v>
      </c>
      <c r="D6" s="71">
        <v>66.11</v>
      </c>
      <c r="F6" s="380" t="s">
        <v>195</v>
      </c>
      <c r="G6" s="381"/>
      <c r="H6" s="381"/>
      <c r="I6" s="381"/>
      <c r="J6" s="382"/>
      <c r="M6" s="128"/>
    </row>
    <row r="7" spans="2:13" x14ac:dyDescent="0.3">
      <c r="B7" s="10" t="s">
        <v>55</v>
      </c>
      <c r="C7" s="11" t="s">
        <v>81</v>
      </c>
      <c r="D7" s="71">
        <v>58.98</v>
      </c>
      <c r="M7" s="128"/>
    </row>
    <row r="8" spans="2:13" x14ac:dyDescent="0.3">
      <c r="B8" s="10" t="s">
        <v>54</v>
      </c>
      <c r="C8" s="11" t="s">
        <v>82</v>
      </c>
      <c r="D8" s="71">
        <v>61.44</v>
      </c>
      <c r="M8" s="128"/>
    </row>
    <row r="9" spans="2:13" x14ac:dyDescent="0.3">
      <c r="B9" s="10" t="s">
        <v>56</v>
      </c>
      <c r="C9" s="11" t="s">
        <v>83</v>
      </c>
      <c r="D9" s="71">
        <v>62.07</v>
      </c>
      <c r="M9" s="128"/>
    </row>
    <row r="10" spans="2:13" x14ac:dyDescent="0.3">
      <c r="B10" s="10" t="s">
        <v>46</v>
      </c>
      <c r="C10" s="11" t="s">
        <v>84</v>
      </c>
      <c r="D10" s="71">
        <v>63.13</v>
      </c>
      <c r="M10" s="128"/>
    </row>
    <row r="11" spans="2:13" x14ac:dyDescent="0.3">
      <c r="B11" s="10" t="s">
        <v>55</v>
      </c>
      <c r="C11" s="11" t="s">
        <v>85</v>
      </c>
      <c r="D11" s="71">
        <v>63.73</v>
      </c>
      <c r="M11" s="128"/>
    </row>
    <row r="12" spans="2:13" x14ac:dyDescent="0.3">
      <c r="B12" s="10" t="s">
        <v>58</v>
      </c>
      <c r="C12" s="11" t="s">
        <v>86</v>
      </c>
      <c r="D12" s="71">
        <v>58.98</v>
      </c>
      <c r="M12" s="128"/>
    </row>
    <row r="13" spans="2:13" x14ac:dyDescent="0.3">
      <c r="B13" s="10" t="s">
        <v>51</v>
      </c>
      <c r="C13" s="11" t="s">
        <v>87</v>
      </c>
      <c r="D13" s="71">
        <v>58.98</v>
      </c>
      <c r="M13" s="128"/>
    </row>
    <row r="14" spans="2:13" x14ac:dyDescent="0.3">
      <c r="B14" s="10" t="s">
        <v>54</v>
      </c>
      <c r="C14" s="11" t="s">
        <v>88</v>
      </c>
      <c r="D14" s="71">
        <v>61.44</v>
      </c>
      <c r="M14" s="128"/>
    </row>
    <row r="15" spans="2:13" x14ac:dyDescent="0.3">
      <c r="B15" s="10" t="s">
        <v>52</v>
      </c>
      <c r="C15" s="11" t="s">
        <v>89</v>
      </c>
      <c r="D15" s="71">
        <v>68.290000000000006</v>
      </c>
      <c r="M15" s="128"/>
    </row>
    <row r="16" spans="2:13" x14ac:dyDescent="0.3">
      <c r="B16" s="10" t="s">
        <v>51</v>
      </c>
      <c r="C16" s="11" t="s">
        <v>90</v>
      </c>
      <c r="D16" s="71">
        <v>58.46</v>
      </c>
      <c r="M16" s="128"/>
    </row>
    <row r="17" spans="2:13" x14ac:dyDescent="0.3">
      <c r="B17" s="10" t="s">
        <v>51</v>
      </c>
      <c r="C17" s="11" t="s">
        <v>91</v>
      </c>
      <c r="D17" s="71">
        <v>63.38</v>
      </c>
      <c r="M17" s="128"/>
    </row>
    <row r="18" spans="2:13" x14ac:dyDescent="0.3">
      <c r="B18" s="10" t="s">
        <v>54</v>
      </c>
      <c r="C18" s="11" t="s">
        <v>92</v>
      </c>
      <c r="D18" s="71">
        <v>47.92</v>
      </c>
      <c r="M18" s="128"/>
    </row>
    <row r="19" spans="2:13" x14ac:dyDescent="0.3">
      <c r="B19" s="10" t="s">
        <v>68</v>
      </c>
      <c r="C19" s="11" t="s">
        <v>93</v>
      </c>
      <c r="D19" s="71">
        <v>110.14</v>
      </c>
      <c r="M19" s="128"/>
    </row>
    <row r="20" spans="2:13" x14ac:dyDescent="0.3">
      <c r="B20" s="10" t="s">
        <v>67</v>
      </c>
      <c r="C20" s="11" t="s">
        <v>94</v>
      </c>
      <c r="D20" s="71">
        <v>60</v>
      </c>
      <c r="M20" s="128"/>
    </row>
    <row r="21" spans="2:13" x14ac:dyDescent="0.3">
      <c r="B21" s="10" t="s">
        <v>48</v>
      </c>
      <c r="C21" s="11" t="s">
        <v>95</v>
      </c>
      <c r="D21" s="71">
        <v>65</v>
      </c>
      <c r="M21" s="128"/>
    </row>
    <row r="22" spans="2:13" x14ac:dyDescent="0.3">
      <c r="B22" s="10" t="s">
        <v>58</v>
      </c>
      <c r="C22" s="11" t="s">
        <v>96</v>
      </c>
      <c r="D22" s="71">
        <v>52.99</v>
      </c>
      <c r="M22" s="128"/>
    </row>
    <row r="23" spans="2:13" x14ac:dyDescent="0.3">
      <c r="B23" s="10" t="s">
        <v>53</v>
      </c>
      <c r="C23" s="11" t="s">
        <v>97</v>
      </c>
      <c r="D23" s="71">
        <v>52.96</v>
      </c>
      <c r="M23" s="128"/>
    </row>
    <row r="24" spans="2:13" x14ac:dyDescent="0.3">
      <c r="B24" s="10" t="s">
        <v>46</v>
      </c>
      <c r="C24" s="11" t="s">
        <v>98</v>
      </c>
      <c r="D24" s="71">
        <v>48.89</v>
      </c>
      <c r="M24" s="128"/>
    </row>
    <row r="25" spans="2:13" x14ac:dyDescent="0.3">
      <c r="B25" s="10" t="s">
        <v>46</v>
      </c>
      <c r="C25" s="11" t="s">
        <v>99</v>
      </c>
      <c r="D25" s="71">
        <v>50.26</v>
      </c>
      <c r="M25" s="128"/>
    </row>
    <row r="26" spans="2:13" x14ac:dyDescent="0.3">
      <c r="B26" s="10" t="s">
        <v>68</v>
      </c>
      <c r="C26" s="11" t="s">
        <v>100</v>
      </c>
      <c r="D26" s="71">
        <v>110.14</v>
      </c>
      <c r="M26" s="128"/>
    </row>
    <row r="27" spans="2:13" x14ac:dyDescent="0.3">
      <c r="B27" s="10" t="s">
        <v>53</v>
      </c>
      <c r="C27" s="11" t="s">
        <v>101</v>
      </c>
      <c r="D27" s="71">
        <v>59.35</v>
      </c>
      <c r="M27" s="128"/>
    </row>
    <row r="28" spans="2:13" x14ac:dyDescent="0.3">
      <c r="B28" s="10" t="s">
        <v>54</v>
      </c>
      <c r="C28" s="11" t="s">
        <v>102</v>
      </c>
      <c r="D28" s="71">
        <v>61.44</v>
      </c>
      <c r="M28" s="128"/>
    </row>
    <row r="29" spans="2:13" x14ac:dyDescent="0.3">
      <c r="B29" s="10" t="s">
        <v>68</v>
      </c>
      <c r="C29" s="11" t="s">
        <v>103</v>
      </c>
      <c r="D29" s="71">
        <v>110.14</v>
      </c>
      <c r="M29" s="128"/>
    </row>
    <row r="30" spans="2:13" x14ac:dyDescent="0.3">
      <c r="B30" s="10" t="s">
        <v>66</v>
      </c>
      <c r="C30" s="11" t="s">
        <v>104</v>
      </c>
      <c r="D30" s="71">
        <v>60</v>
      </c>
      <c r="M30" s="128"/>
    </row>
    <row r="31" spans="2:13" x14ac:dyDescent="0.3">
      <c r="B31" s="10" t="s">
        <v>269</v>
      </c>
      <c r="C31" s="11" t="s">
        <v>105</v>
      </c>
      <c r="D31" s="71">
        <v>60</v>
      </c>
      <c r="M31" s="128"/>
    </row>
    <row r="32" spans="2:13" x14ac:dyDescent="0.3">
      <c r="B32" s="10" t="s">
        <v>61</v>
      </c>
      <c r="C32" s="11" t="s">
        <v>106</v>
      </c>
      <c r="D32" s="71">
        <v>96.49</v>
      </c>
      <c r="M32" s="128"/>
    </row>
    <row r="33" spans="2:13" x14ac:dyDescent="0.3">
      <c r="B33" s="10" t="s">
        <v>56</v>
      </c>
      <c r="C33" s="11" t="s">
        <v>57</v>
      </c>
      <c r="D33" s="71">
        <v>64.239999999999995</v>
      </c>
      <c r="M33" s="128"/>
    </row>
    <row r="34" spans="2:13" x14ac:dyDescent="0.3">
      <c r="B34" s="10" t="s">
        <v>68</v>
      </c>
      <c r="C34" s="11" t="s">
        <v>107</v>
      </c>
      <c r="D34" s="71">
        <v>45.55</v>
      </c>
      <c r="M34" s="128"/>
    </row>
    <row r="35" spans="2:13" x14ac:dyDescent="0.3">
      <c r="B35" s="10" t="s">
        <v>69</v>
      </c>
      <c r="C35" s="11" t="s">
        <v>108</v>
      </c>
      <c r="D35" s="71">
        <v>50.59</v>
      </c>
      <c r="M35" s="128"/>
    </row>
    <row r="36" spans="2:13" x14ac:dyDescent="0.3">
      <c r="B36" s="10" t="s">
        <v>54</v>
      </c>
      <c r="C36" s="11" t="s">
        <v>109</v>
      </c>
      <c r="D36" s="71">
        <v>64.28</v>
      </c>
      <c r="M36" s="128"/>
    </row>
    <row r="37" spans="2:13" x14ac:dyDescent="0.3">
      <c r="B37" s="10" t="s">
        <v>55</v>
      </c>
      <c r="C37" s="11" t="s">
        <v>110</v>
      </c>
      <c r="D37" s="71">
        <v>58.98</v>
      </c>
      <c r="M37" s="128"/>
    </row>
    <row r="38" spans="2:13" x14ac:dyDescent="0.3">
      <c r="B38" s="10" t="s">
        <v>69</v>
      </c>
      <c r="C38" s="11" t="s">
        <v>111</v>
      </c>
      <c r="D38" s="71">
        <v>63.62</v>
      </c>
      <c r="M38" s="128"/>
    </row>
    <row r="39" spans="2:13" x14ac:dyDescent="0.3">
      <c r="B39" s="10" t="s">
        <v>69</v>
      </c>
      <c r="C39" s="11" t="s">
        <v>112</v>
      </c>
      <c r="D39" s="71">
        <v>58.98</v>
      </c>
      <c r="M39" s="128"/>
    </row>
    <row r="40" spans="2:13" x14ac:dyDescent="0.3">
      <c r="B40" s="10" t="s">
        <v>69</v>
      </c>
      <c r="C40" s="11" t="s">
        <v>113</v>
      </c>
      <c r="D40" s="71">
        <v>61.3</v>
      </c>
      <c r="M40" s="128"/>
    </row>
    <row r="41" spans="2:13" x14ac:dyDescent="0.3">
      <c r="B41" s="10" t="s">
        <v>51</v>
      </c>
      <c r="C41" s="11" t="s">
        <v>114</v>
      </c>
      <c r="D41" s="71">
        <v>58.98</v>
      </c>
      <c r="M41" s="128"/>
    </row>
    <row r="42" spans="2:13" x14ac:dyDescent="0.3">
      <c r="B42" s="10" t="s">
        <v>54</v>
      </c>
      <c r="C42" s="11" t="s">
        <v>115</v>
      </c>
      <c r="D42" s="71">
        <v>48.35</v>
      </c>
      <c r="M42" s="128"/>
    </row>
    <row r="43" spans="2:13" x14ac:dyDescent="0.3">
      <c r="B43" s="10" t="s">
        <v>62</v>
      </c>
      <c r="C43" s="11" t="s">
        <v>63</v>
      </c>
      <c r="D43" s="71">
        <v>77.069999999999993</v>
      </c>
      <c r="M43" s="128"/>
    </row>
    <row r="44" spans="2:13" x14ac:dyDescent="0.3">
      <c r="B44" s="10" t="s">
        <v>55</v>
      </c>
      <c r="C44" s="11" t="s">
        <v>116</v>
      </c>
      <c r="D44" s="71">
        <v>43.13</v>
      </c>
      <c r="M44" s="128"/>
    </row>
    <row r="45" spans="2:13" x14ac:dyDescent="0.3">
      <c r="B45" s="10" t="s">
        <v>54</v>
      </c>
      <c r="C45" s="11" t="s">
        <v>117</v>
      </c>
      <c r="D45" s="71">
        <v>57.88</v>
      </c>
      <c r="M45" s="128"/>
    </row>
    <row r="46" spans="2:13" x14ac:dyDescent="0.3">
      <c r="B46" s="10" t="s">
        <v>55</v>
      </c>
      <c r="C46" s="11" t="s">
        <v>118</v>
      </c>
      <c r="D46" s="71">
        <v>59.35</v>
      </c>
      <c r="M46" s="128"/>
    </row>
    <row r="47" spans="2:13" x14ac:dyDescent="0.3">
      <c r="B47" s="10" t="s">
        <v>50</v>
      </c>
      <c r="C47" s="11" t="s">
        <v>119</v>
      </c>
      <c r="D47" s="71">
        <v>61.44</v>
      </c>
      <c r="M47" s="128"/>
    </row>
    <row r="48" spans="2:13" x14ac:dyDescent="0.3">
      <c r="B48" s="10" t="s">
        <v>54</v>
      </c>
      <c r="C48" s="11" t="s">
        <v>120</v>
      </c>
      <c r="D48" s="71">
        <v>61.44</v>
      </c>
      <c r="M48" s="128"/>
    </row>
    <row r="49" spans="2:13" x14ac:dyDescent="0.3">
      <c r="B49" s="10" t="s">
        <v>51</v>
      </c>
      <c r="C49" s="11" t="s">
        <v>121</v>
      </c>
      <c r="D49" s="71">
        <v>61.44</v>
      </c>
      <c r="M49" s="128"/>
    </row>
    <row r="50" spans="2:13" x14ac:dyDescent="0.3">
      <c r="B50" s="10" t="s">
        <v>51</v>
      </c>
      <c r="C50" s="11" t="s">
        <v>122</v>
      </c>
      <c r="D50" s="71">
        <v>61.44</v>
      </c>
      <c r="M50" s="128"/>
    </row>
    <row r="51" spans="2:13" x14ac:dyDescent="0.3">
      <c r="B51" s="10" t="s">
        <v>58</v>
      </c>
      <c r="C51" s="11" t="s">
        <v>123</v>
      </c>
      <c r="D51" s="71">
        <v>47.53</v>
      </c>
      <c r="M51" s="128"/>
    </row>
    <row r="52" spans="2:13" x14ac:dyDescent="0.3">
      <c r="B52" s="10" t="s">
        <v>53</v>
      </c>
      <c r="C52" s="11" t="s">
        <v>124</v>
      </c>
      <c r="D52" s="71">
        <v>60.74</v>
      </c>
      <c r="M52" s="128"/>
    </row>
    <row r="53" spans="2:13" x14ac:dyDescent="0.3">
      <c r="B53" s="10" t="s">
        <v>46</v>
      </c>
      <c r="C53" s="11" t="s">
        <v>125</v>
      </c>
      <c r="D53" s="71">
        <v>63.13</v>
      </c>
      <c r="M53" s="128"/>
    </row>
    <row r="54" spans="2:13" x14ac:dyDescent="0.3">
      <c r="B54" s="10" t="s">
        <v>52</v>
      </c>
      <c r="C54" s="11" t="s">
        <v>126</v>
      </c>
      <c r="D54" s="71">
        <v>61.44</v>
      </c>
      <c r="M54" s="128"/>
    </row>
    <row r="55" spans="2:13" x14ac:dyDescent="0.3">
      <c r="B55" s="10" t="s">
        <v>54</v>
      </c>
      <c r="C55" s="11" t="s">
        <v>127</v>
      </c>
      <c r="D55" s="71">
        <v>64.28</v>
      </c>
      <c r="M55" s="128"/>
    </row>
    <row r="56" spans="2:13" x14ac:dyDescent="0.3">
      <c r="B56" s="10" t="s">
        <v>55</v>
      </c>
      <c r="C56" s="11" t="s">
        <v>128</v>
      </c>
      <c r="D56" s="71">
        <v>58.98</v>
      </c>
      <c r="M56" s="128"/>
    </row>
    <row r="57" spans="2:13" x14ac:dyDescent="0.3">
      <c r="B57" s="10" t="s">
        <v>69</v>
      </c>
      <c r="C57" s="11" t="s">
        <v>129</v>
      </c>
      <c r="D57" s="71">
        <v>46.12</v>
      </c>
      <c r="M57" s="128"/>
    </row>
    <row r="58" spans="2:13" x14ac:dyDescent="0.3">
      <c r="B58" s="10" t="s">
        <v>52</v>
      </c>
      <c r="C58" s="11" t="s">
        <v>130</v>
      </c>
      <c r="D58" s="71">
        <v>51.65</v>
      </c>
      <c r="M58" s="128"/>
    </row>
    <row r="59" spans="2:13" x14ac:dyDescent="0.3">
      <c r="B59" s="10" t="s">
        <v>69</v>
      </c>
      <c r="C59" s="11" t="s">
        <v>131</v>
      </c>
      <c r="D59" s="71">
        <v>46.12</v>
      </c>
      <c r="M59" s="128"/>
    </row>
    <row r="60" spans="2:13" x14ac:dyDescent="0.3">
      <c r="B60" s="10" t="s">
        <v>58</v>
      </c>
      <c r="C60" s="11" t="s">
        <v>132</v>
      </c>
      <c r="D60" s="71">
        <v>58.98</v>
      </c>
      <c r="M60" s="128"/>
    </row>
    <row r="61" spans="2:13" x14ac:dyDescent="0.3">
      <c r="B61" s="10" t="s">
        <v>49</v>
      </c>
      <c r="C61" s="11" t="s">
        <v>133</v>
      </c>
      <c r="D61" s="71">
        <v>59.84</v>
      </c>
      <c r="M61" s="128"/>
    </row>
    <row r="62" spans="2:13" x14ac:dyDescent="0.3">
      <c r="B62" s="10" t="s">
        <v>49</v>
      </c>
      <c r="C62" s="11" t="s">
        <v>134</v>
      </c>
      <c r="D62" s="71">
        <v>61.56</v>
      </c>
      <c r="M62" s="128"/>
    </row>
    <row r="63" spans="2:13" x14ac:dyDescent="0.3">
      <c r="B63" s="10" t="s">
        <v>49</v>
      </c>
      <c r="C63" s="11" t="s">
        <v>135</v>
      </c>
      <c r="D63" s="71">
        <v>57.15</v>
      </c>
      <c r="M63" s="128"/>
    </row>
    <row r="64" spans="2:13" x14ac:dyDescent="0.3">
      <c r="B64" s="10" t="s">
        <v>65</v>
      </c>
      <c r="C64" s="11" t="s">
        <v>136</v>
      </c>
      <c r="D64" s="71">
        <v>72.97</v>
      </c>
      <c r="M64" s="128"/>
    </row>
    <row r="65" spans="2:13" x14ac:dyDescent="0.3">
      <c r="B65" s="10" t="s">
        <v>51</v>
      </c>
      <c r="C65" s="11" t="s">
        <v>137</v>
      </c>
      <c r="D65" s="71">
        <v>58.98</v>
      </c>
      <c r="M65" s="128"/>
    </row>
    <row r="66" spans="2:13" x14ac:dyDescent="0.3">
      <c r="B66" s="10" t="s">
        <v>50</v>
      </c>
      <c r="C66" s="11" t="s">
        <v>138</v>
      </c>
      <c r="D66" s="71">
        <v>63.73</v>
      </c>
      <c r="M66" s="128"/>
    </row>
    <row r="67" spans="2:13" x14ac:dyDescent="0.3">
      <c r="B67" s="10" t="s">
        <v>50</v>
      </c>
      <c r="C67" s="11" t="s">
        <v>139</v>
      </c>
      <c r="D67" s="71">
        <v>68.290000000000006</v>
      </c>
      <c r="M67" s="128"/>
    </row>
    <row r="68" spans="2:13" x14ac:dyDescent="0.3">
      <c r="B68" s="10" t="s">
        <v>51</v>
      </c>
      <c r="C68" s="11" t="s">
        <v>140</v>
      </c>
      <c r="D68" s="71">
        <v>58.98</v>
      </c>
      <c r="M68" s="128"/>
    </row>
    <row r="69" spans="2:13" x14ac:dyDescent="0.3">
      <c r="B69" s="10" t="s">
        <v>51</v>
      </c>
      <c r="C69" s="11" t="s">
        <v>141</v>
      </c>
      <c r="D69" s="71">
        <v>63.63</v>
      </c>
      <c r="M69" s="128"/>
    </row>
    <row r="70" spans="2:13" x14ac:dyDescent="0.3">
      <c r="B70" s="10" t="s">
        <v>69</v>
      </c>
      <c r="C70" s="11" t="s">
        <v>142</v>
      </c>
      <c r="D70" s="71">
        <v>50.59</v>
      </c>
      <c r="M70" s="128"/>
    </row>
    <row r="71" spans="2:13" x14ac:dyDescent="0.3">
      <c r="B71" s="10" t="s">
        <v>51</v>
      </c>
      <c r="C71" s="11" t="s">
        <v>143</v>
      </c>
      <c r="D71" s="71">
        <v>61.13</v>
      </c>
      <c r="M71" s="128"/>
    </row>
    <row r="72" spans="2:13" x14ac:dyDescent="0.3">
      <c r="B72" s="10" t="s">
        <v>68</v>
      </c>
      <c r="C72" s="11" t="s">
        <v>144</v>
      </c>
      <c r="D72" s="71">
        <v>89.46</v>
      </c>
      <c r="M72" s="128"/>
    </row>
    <row r="73" spans="2:13" x14ac:dyDescent="0.3">
      <c r="B73" s="10" t="s">
        <v>56</v>
      </c>
      <c r="C73" s="11" t="s">
        <v>145</v>
      </c>
      <c r="D73" s="71">
        <v>49.22</v>
      </c>
      <c r="M73" s="128"/>
    </row>
    <row r="74" spans="2:13" x14ac:dyDescent="0.3">
      <c r="B74" s="10" t="s">
        <v>64</v>
      </c>
      <c r="C74" s="11" t="s">
        <v>146</v>
      </c>
      <c r="D74" s="71">
        <v>65.11</v>
      </c>
      <c r="M74" s="128"/>
    </row>
    <row r="75" spans="2:13" x14ac:dyDescent="0.3">
      <c r="B75" s="10" t="s">
        <v>59</v>
      </c>
      <c r="C75" s="11" t="s">
        <v>147</v>
      </c>
      <c r="D75" s="71">
        <v>66.790000000000006</v>
      </c>
      <c r="M75" s="128"/>
    </row>
    <row r="76" spans="2:13" x14ac:dyDescent="0.3">
      <c r="B76" s="10" t="s">
        <v>48</v>
      </c>
      <c r="C76" s="11" t="s">
        <v>148</v>
      </c>
      <c r="D76" s="71">
        <v>50.59</v>
      </c>
      <c r="M76" s="128"/>
    </row>
    <row r="77" spans="2:13" x14ac:dyDescent="0.3">
      <c r="B77" s="10" t="s">
        <v>59</v>
      </c>
      <c r="C77" s="11" t="s">
        <v>149</v>
      </c>
      <c r="D77" s="71">
        <v>107.3</v>
      </c>
      <c r="M77" s="128"/>
    </row>
    <row r="78" spans="2:13" x14ac:dyDescent="0.3">
      <c r="B78" s="10" t="s">
        <v>51</v>
      </c>
      <c r="C78" s="11" t="s">
        <v>150</v>
      </c>
      <c r="D78" s="71">
        <v>61.44</v>
      </c>
      <c r="M78" s="128"/>
    </row>
    <row r="79" spans="2:13" x14ac:dyDescent="0.3">
      <c r="B79" s="10" t="s">
        <v>52</v>
      </c>
      <c r="C79" s="11" t="s">
        <v>151</v>
      </c>
      <c r="D79" s="71">
        <v>58.2</v>
      </c>
      <c r="M79" s="128"/>
    </row>
    <row r="80" spans="2:13" x14ac:dyDescent="0.3">
      <c r="B80" s="10" t="s">
        <v>51</v>
      </c>
      <c r="C80" s="11" t="s">
        <v>152</v>
      </c>
      <c r="D80" s="71">
        <v>61.44</v>
      </c>
      <c r="M80" s="128"/>
    </row>
    <row r="81" spans="2:13" x14ac:dyDescent="0.3">
      <c r="B81" s="10" t="s">
        <v>68</v>
      </c>
      <c r="C81" s="11" t="s">
        <v>153</v>
      </c>
      <c r="D81" s="71">
        <v>61.01</v>
      </c>
      <c r="M81" s="128"/>
    </row>
    <row r="82" spans="2:13" x14ac:dyDescent="0.3">
      <c r="B82" s="10" t="s">
        <v>52</v>
      </c>
      <c r="C82" s="11" t="s">
        <v>154</v>
      </c>
      <c r="D82" s="71">
        <v>63.09</v>
      </c>
      <c r="M82" s="128"/>
    </row>
    <row r="83" spans="2:13" x14ac:dyDescent="0.3">
      <c r="B83" s="10" t="s">
        <v>48</v>
      </c>
      <c r="C83" s="11" t="s">
        <v>155</v>
      </c>
      <c r="D83" s="71">
        <v>65</v>
      </c>
      <c r="M83" s="128"/>
    </row>
    <row r="84" spans="2:13" x14ac:dyDescent="0.3">
      <c r="B84" s="10" t="s">
        <v>66</v>
      </c>
      <c r="C84" s="11" t="s">
        <v>156</v>
      </c>
      <c r="D84" s="71">
        <v>57.79</v>
      </c>
      <c r="M84" s="128"/>
    </row>
    <row r="85" spans="2:13" x14ac:dyDescent="0.3">
      <c r="B85" s="10" t="s">
        <v>58</v>
      </c>
      <c r="C85" s="11" t="s">
        <v>157</v>
      </c>
      <c r="D85" s="71">
        <v>58.98</v>
      </c>
      <c r="M85" s="128"/>
    </row>
    <row r="86" spans="2:13" x14ac:dyDescent="0.3">
      <c r="B86" s="10" t="s">
        <v>54</v>
      </c>
      <c r="C86" s="11" t="s">
        <v>158</v>
      </c>
      <c r="D86" s="71">
        <v>64.28</v>
      </c>
      <c r="M86" s="128"/>
    </row>
    <row r="87" spans="2:13" x14ac:dyDescent="0.3">
      <c r="B87" s="10" t="s">
        <v>55</v>
      </c>
      <c r="C87" s="11" t="s">
        <v>159</v>
      </c>
      <c r="D87" s="71">
        <v>58.98</v>
      </c>
      <c r="M87" s="128"/>
    </row>
    <row r="88" spans="2:13" x14ac:dyDescent="0.3">
      <c r="B88" s="10" t="s">
        <v>53</v>
      </c>
      <c r="C88" s="11" t="s">
        <v>160</v>
      </c>
      <c r="D88" s="71">
        <v>58.98</v>
      </c>
      <c r="M88" s="128"/>
    </row>
    <row r="89" spans="2:13" x14ac:dyDescent="0.3">
      <c r="B89" s="10" t="s">
        <v>59</v>
      </c>
      <c r="C89" s="11" t="s">
        <v>60</v>
      </c>
      <c r="D89" s="71">
        <v>63.73</v>
      </c>
      <c r="M89" s="128"/>
    </row>
    <row r="90" spans="2:13" x14ac:dyDescent="0.3">
      <c r="B90" s="10" t="s">
        <v>50</v>
      </c>
      <c r="C90" s="11" t="s">
        <v>161</v>
      </c>
      <c r="D90" s="71">
        <v>63.73</v>
      </c>
      <c r="M90" s="128"/>
    </row>
    <row r="91" spans="2:13" x14ac:dyDescent="0.3">
      <c r="B91" s="10" t="s">
        <v>51</v>
      </c>
      <c r="C91" s="11" t="s">
        <v>162</v>
      </c>
      <c r="D91" s="71">
        <v>58.98</v>
      </c>
      <c r="M91" s="128"/>
    </row>
    <row r="92" spans="2:13" x14ac:dyDescent="0.3">
      <c r="B92" s="10" t="s">
        <v>53</v>
      </c>
      <c r="C92" s="11" t="s">
        <v>163</v>
      </c>
      <c r="D92" s="71">
        <v>49.75</v>
      </c>
      <c r="M92" s="128"/>
    </row>
    <row r="93" spans="2:13" x14ac:dyDescent="0.3">
      <c r="B93" s="10" t="s">
        <v>50</v>
      </c>
      <c r="C93" s="11" t="s">
        <v>164</v>
      </c>
      <c r="D93" s="71">
        <v>63.73</v>
      </c>
      <c r="M93" s="128"/>
    </row>
    <row r="94" spans="2:13" x14ac:dyDescent="0.3">
      <c r="B94" s="10" t="s">
        <v>52</v>
      </c>
      <c r="C94" s="11" t="s">
        <v>165</v>
      </c>
      <c r="D94" s="71">
        <v>52.1</v>
      </c>
      <c r="M94" s="128"/>
    </row>
    <row r="95" spans="2:13" x14ac:dyDescent="0.3">
      <c r="B95" s="10" t="s">
        <v>54</v>
      </c>
      <c r="C95" s="11" t="s">
        <v>166</v>
      </c>
      <c r="D95" s="71">
        <v>60.29</v>
      </c>
      <c r="M95" s="128"/>
    </row>
    <row r="96" spans="2:13" x14ac:dyDescent="0.3">
      <c r="B96" s="10" t="s">
        <v>55</v>
      </c>
      <c r="C96" s="11" t="s">
        <v>167</v>
      </c>
      <c r="D96" s="71">
        <v>58.98</v>
      </c>
      <c r="M96" s="128"/>
    </row>
    <row r="97" spans="2:13" x14ac:dyDescent="0.3">
      <c r="B97" s="10" t="s">
        <v>270</v>
      </c>
      <c r="C97" s="11" t="s">
        <v>168</v>
      </c>
      <c r="D97" s="71">
        <v>61.44</v>
      </c>
      <c r="M97" s="128"/>
    </row>
    <row r="98" spans="2:13" x14ac:dyDescent="0.3">
      <c r="B98" s="10" t="s">
        <v>51</v>
      </c>
      <c r="C98" s="11" t="s">
        <v>169</v>
      </c>
      <c r="D98" s="71">
        <v>59.15</v>
      </c>
      <c r="M98" s="128"/>
    </row>
    <row r="99" spans="2:13" x14ac:dyDescent="0.3">
      <c r="B99" s="10" t="s">
        <v>51</v>
      </c>
      <c r="C99" s="11" t="s">
        <v>170</v>
      </c>
      <c r="D99" s="71">
        <v>50.77</v>
      </c>
      <c r="M99" s="128"/>
    </row>
    <row r="100" spans="2:13" x14ac:dyDescent="0.3">
      <c r="B100" s="10" t="s">
        <v>71</v>
      </c>
      <c r="C100" s="11" t="s">
        <v>72</v>
      </c>
      <c r="D100" s="71">
        <v>73.430000000000007</v>
      </c>
      <c r="M100" s="128"/>
    </row>
    <row r="101" spans="2:13" x14ac:dyDescent="0.3">
      <c r="B101" s="10" t="s">
        <v>54</v>
      </c>
      <c r="C101" s="11" t="s">
        <v>171</v>
      </c>
      <c r="D101" s="71">
        <v>64.28</v>
      </c>
      <c r="M101" s="128"/>
    </row>
    <row r="102" spans="2:13" x14ac:dyDescent="0.3">
      <c r="B102" s="10" t="s">
        <v>52</v>
      </c>
      <c r="C102" s="11" t="s">
        <v>172</v>
      </c>
      <c r="D102" s="71">
        <v>57.15</v>
      </c>
      <c r="M102" s="128"/>
    </row>
    <row r="103" spans="2:13" x14ac:dyDescent="0.3">
      <c r="B103" s="10" t="s">
        <v>53</v>
      </c>
      <c r="C103" s="11" t="s">
        <v>173</v>
      </c>
      <c r="D103" s="71">
        <v>58.98</v>
      </c>
      <c r="M103" s="128"/>
    </row>
    <row r="104" spans="2:13" x14ac:dyDescent="0.3">
      <c r="B104" s="10" t="s">
        <v>55</v>
      </c>
      <c r="C104" s="11" t="s">
        <v>174</v>
      </c>
      <c r="D104" s="71">
        <v>58.98</v>
      </c>
      <c r="M104" s="128"/>
    </row>
    <row r="105" spans="2:13" x14ac:dyDescent="0.3">
      <c r="B105" s="10" t="s">
        <v>271</v>
      </c>
      <c r="C105" s="11" t="s">
        <v>272</v>
      </c>
      <c r="D105" s="71"/>
      <c r="M105" s="128"/>
    </row>
    <row r="106" spans="2:13" x14ac:dyDescent="0.3">
      <c r="B106" s="10" t="s">
        <v>44</v>
      </c>
      <c r="C106" s="11" t="s">
        <v>272</v>
      </c>
      <c r="D106" s="71"/>
      <c r="M106" s="128"/>
    </row>
    <row r="107" spans="2:13" x14ac:dyDescent="0.3">
      <c r="B107" s="127"/>
      <c r="M107" s="128"/>
    </row>
    <row r="108" spans="2:13" x14ac:dyDescent="0.3">
      <c r="B108" s="127"/>
      <c r="M108" s="128"/>
    </row>
    <row r="109" spans="2:13" x14ac:dyDescent="0.3">
      <c r="B109" s="127"/>
      <c r="M109" s="128"/>
    </row>
    <row r="110" spans="2:13" x14ac:dyDescent="0.3">
      <c r="B110" s="127"/>
      <c r="M110" s="128"/>
    </row>
    <row r="111" spans="2:13" x14ac:dyDescent="0.3">
      <c r="B111" s="127"/>
      <c r="M111" s="128"/>
    </row>
    <row r="112" spans="2:13" x14ac:dyDescent="0.3">
      <c r="B112" s="127"/>
      <c r="M112" s="128"/>
    </row>
    <row r="113" spans="2:13" x14ac:dyDescent="0.3">
      <c r="B113" s="127"/>
      <c r="M113" s="128"/>
    </row>
    <row r="114" spans="2:13" x14ac:dyDescent="0.3">
      <c r="B114" s="127"/>
      <c r="M114" s="128"/>
    </row>
    <row r="115" spans="2:13" ht="21" x14ac:dyDescent="0.3">
      <c r="B115" s="72" t="s">
        <v>273</v>
      </c>
      <c r="C115" s="72" t="s">
        <v>274</v>
      </c>
      <c r="M115" s="128"/>
    </row>
    <row r="116" spans="2:13" x14ac:dyDescent="0.3">
      <c r="B116" s="8" t="s">
        <v>248</v>
      </c>
      <c r="C116" s="9">
        <f>'BASE BID'!D$11</f>
        <v>0</v>
      </c>
      <c r="M116" s="128"/>
    </row>
    <row r="117" spans="2:13" x14ac:dyDescent="0.3">
      <c r="B117" s="8" t="s">
        <v>247</v>
      </c>
      <c r="C117" s="9">
        <f>'BASE BID'!D$12</f>
        <v>0.05</v>
      </c>
      <c r="M117" s="128"/>
    </row>
    <row r="118" spans="2:13" x14ac:dyDescent="0.3">
      <c r="B118" s="8" t="s">
        <v>246</v>
      </c>
      <c r="C118" s="9">
        <f>'BASE BID'!D$12</f>
        <v>0.05</v>
      </c>
      <c r="M118" s="128"/>
    </row>
    <row r="119" spans="2:13" x14ac:dyDescent="0.3">
      <c r="B119" s="8" t="s">
        <v>275</v>
      </c>
      <c r="C119" s="9">
        <f>'BASE BID'!D$12</f>
        <v>0.05</v>
      </c>
      <c r="M119" s="128"/>
    </row>
    <row r="120" spans="2:13" x14ac:dyDescent="0.3">
      <c r="B120" s="8" t="s">
        <v>250</v>
      </c>
      <c r="C120" s="9">
        <f>'BASE BID'!D$12</f>
        <v>0.05</v>
      </c>
      <c r="M120" s="128"/>
    </row>
    <row r="121" spans="2:13" x14ac:dyDescent="0.3">
      <c r="B121" s="8" t="s">
        <v>251</v>
      </c>
      <c r="C121" s="9">
        <f>'BASE BID'!D$12</f>
        <v>0.05</v>
      </c>
      <c r="M121" s="128"/>
    </row>
    <row r="122" spans="2:13" x14ac:dyDescent="0.3">
      <c r="B122" s="8" t="s">
        <v>249</v>
      </c>
      <c r="C122" s="9">
        <f>'BASE BID'!D$12</f>
        <v>0.05</v>
      </c>
      <c r="M122" s="128"/>
    </row>
    <row r="123" spans="2:13" x14ac:dyDescent="0.3">
      <c r="B123" s="8" t="s">
        <v>221</v>
      </c>
      <c r="C123" s="9">
        <f>'BASE BID'!D$11</f>
        <v>0</v>
      </c>
      <c r="M123" s="128"/>
    </row>
    <row r="124" spans="2:13" x14ac:dyDescent="0.3">
      <c r="B124" s="8"/>
      <c r="C124" s="8"/>
      <c r="M124" s="128"/>
    </row>
    <row r="125" spans="2:13" x14ac:dyDescent="0.3">
      <c r="B125" s="8"/>
      <c r="C125" s="8"/>
      <c r="M125" s="128"/>
    </row>
    <row r="126" spans="2:13" x14ac:dyDescent="0.3">
      <c r="B126" s="8"/>
      <c r="C126" s="8"/>
      <c r="D126" s="140"/>
      <c r="E126" s="140"/>
      <c r="F126" s="140"/>
      <c r="G126" s="140"/>
      <c r="H126" s="140"/>
      <c r="I126" s="140"/>
      <c r="J126" s="140"/>
      <c r="K126" s="140"/>
      <c r="L126" s="140"/>
      <c r="M126" s="141"/>
    </row>
  </sheetData>
  <sortState xmlns:xlrd2="http://schemas.microsoft.com/office/spreadsheetml/2017/richdata2" ref="B8:D104">
    <sortCondition ref="C8:C97"/>
  </sortState>
  <mergeCells count="3">
    <mergeCell ref="B2:M3"/>
    <mergeCell ref="B4:M4"/>
    <mergeCell ref="F6:J6"/>
  </mergeCells>
  <hyperlinks>
    <hyperlink ref="F6:I6" location="'COST SUMMARY'!A1" display="CLICK HERE TO GO BACK TO COST SUMMARY" xr:uid="{00000000-0004-0000-0600-000000000000}"/>
  </hyperlinks>
  <pageMargins left="0.25" right="0.25" top="0.75" bottom="0.75" header="0.3" footer="0.3"/>
  <pageSetup scale="56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EP142"/>
  <sheetViews>
    <sheetView workbookViewId="0">
      <selection activeCell="B3" sqref="B3"/>
    </sheetView>
  </sheetViews>
  <sheetFormatPr defaultColWidth="8.81640625" defaultRowHeight="14.4" x14ac:dyDescent="0.3"/>
  <cols>
    <col min="1" max="16384" width="8.81640625" style="20"/>
  </cols>
  <sheetData>
    <row r="1" spans="1:146" x14ac:dyDescent="0.3">
      <c r="A1" s="20" t="s">
        <v>276</v>
      </c>
      <c r="B1" s="20" t="s">
        <v>277</v>
      </c>
      <c r="C1" s="20" t="s">
        <v>278</v>
      </c>
      <c r="D1" s="21" t="s">
        <v>4</v>
      </c>
      <c r="E1" s="21" t="s">
        <v>279</v>
      </c>
      <c r="F1" s="20" t="s">
        <v>280</v>
      </c>
      <c r="G1" s="20" t="s">
        <v>281</v>
      </c>
      <c r="H1" s="20" t="s">
        <v>282</v>
      </c>
      <c r="I1" s="20" t="s">
        <v>283</v>
      </c>
      <c r="J1" s="20" t="s">
        <v>284</v>
      </c>
      <c r="K1" s="20" t="s">
        <v>285</v>
      </c>
      <c r="L1" s="20" t="s">
        <v>286</v>
      </c>
      <c r="M1" s="20" t="s">
        <v>287</v>
      </c>
      <c r="N1" s="20" t="s">
        <v>288</v>
      </c>
      <c r="O1" s="20" t="s">
        <v>289</v>
      </c>
      <c r="P1" s="20" t="s">
        <v>290</v>
      </c>
      <c r="Q1" s="20" t="s">
        <v>291</v>
      </c>
      <c r="R1" s="20" t="s">
        <v>292</v>
      </c>
      <c r="S1" s="20" t="s">
        <v>293</v>
      </c>
      <c r="T1" s="20" t="s">
        <v>294</v>
      </c>
      <c r="U1" s="20" t="s">
        <v>295</v>
      </c>
      <c r="V1" s="20" t="s">
        <v>296</v>
      </c>
      <c r="W1" s="20" t="s">
        <v>297</v>
      </c>
      <c r="X1" s="20" t="s">
        <v>298</v>
      </c>
      <c r="Y1" s="20" t="s">
        <v>299</v>
      </c>
      <c r="Z1" s="20" t="s">
        <v>300</v>
      </c>
      <c r="AA1" s="20" t="s">
        <v>301</v>
      </c>
      <c r="AB1" s="20" t="s">
        <v>302</v>
      </c>
      <c r="AC1" s="20" t="s">
        <v>303</v>
      </c>
      <c r="AD1" s="20" t="s">
        <v>304</v>
      </c>
      <c r="AE1" s="20" t="s">
        <v>305</v>
      </c>
      <c r="AF1" s="20" t="s">
        <v>306</v>
      </c>
      <c r="AG1" s="20" t="s">
        <v>307</v>
      </c>
      <c r="AH1" s="20" t="s">
        <v>308</v>
      </c>
      <c r="AI1" s="20" t="s">
        <v>309</v>
      </c>
      <c r="AJ1" s="20" t="s">
        <v>310</v>
      </c>
      <c r="AK1" s="20" t="s">
        <v>311</v>
      </c>
      <c r="AL1" s="20" t="s">
        <v>312</v>
      </c>
      <c r="AM1" s="20" t="s">
        <v>313</v>
      </c>
      <c r="AN1" s="20" t="s">
        <v>314</v>
      </c>
      <c r="AO1" s="20" t="s">
        <v>315</v>
      </c>
      <c r="AP1" s="20" t="s">
        <v>316</v>
      </c>
      <c r="AQ1" s="20" t="s">
        <v>317</v>
      </c>
      <c r="AR1" s="20" t="s">
        <v>318</v>
      </c>
      <c r="AS1" s="20" t="s">
        <v>319</v>
      </c>
      <c r="AT1" s="20" t="s">
        <v>320</v>
      </c>
      <c r="AU1" s="20" t="s">
        <v>321</v>
      </c>
      <c r="AV1" s="20" t="s">
        <v>322</v>
      </c>
      <c r="AW1" s="20" t="s">
        <v>323</v>
      </c>
      <c r="AX1" s="20" t="s">
        <v>324</v>
      </c>
      <c r="AY1" s="20" t="s">
        <v>325</v>
      </c>
      <c r="AZ1" s="20" t="s">
        <v>326</v>
      </c>
      <c r="BA1" s="20" t="s">
        <v>327</v>
      </c>
      <c r="BB1" s="20" t="s">
        <v>328</v>
      </c>
      <c r="BC1" s="20" t="s">
        <v>329</v>
      </c>
      <c r="BD1" s="20" t="s">
        <v>330</v>
      </c>
      <c r="BE1" s="20" t="s">
        <v>331</v>
      </c>
      <c r="BF1" s="20" t="s">
        <v>332</v>
      </c>
      <c r="BG1" s="20" t="s">
        <v>333</v>
      </c>
      <c r="BH1" s="20" t="s">
        <v>334</v>
      </c>
      <c r="BI1" s="20" t="s">
        <v>335</v>
      </c>
      <c r="BJ1" s="20" t="s">
        <v>336</v>
      </c>
      <c r="BK1" s="20" t="s">
        <v>337</v>
      </c>
      <c r="BL1" s="20" t="s">
        <v>338</v>
      </c>
      <c r="BM1" s="20" t="s">
        <v>339</v>
      </c>
      <c r="BN1" s="20" t="s">
        <v>340</v>
      </c>
      <c r="BO1" s="20" t="s">
        <v>341</v>
      </c>
      <c r="BP1" s="20" t="s">
        <v>342</v>
      </c>
      <c r="BQ1" s="20" t="s">
        <v>343</v>
      </c>
      <c r="BR1" s="20" t="s">
        <v>344</v>
      </c>
      <c r="BS1" s="20" t="s">
        <v>345</v>
      </c>
      <c r="BT1" s="20" t="s">
        <v>346</v>
      </c>
      <c r="BU1" s="20" t="s">
        <v>347</v>
      </c>
      <c r="BV1" s="20" t="s">
        <v>348</v>
      </c>
      <c r="BW1" s="20" t="s">
        <v>349</v>
      </c>
      <c r="BX1" s="20" t="s">
        <v>350</v>
      </c>
      <c r="BY1" s="20" t="s">
        <v>351</v>
      </c>
      <c r="BZ1" s="20" t="s">
        <v>352</v>
      </c>
      <c r="CA1" s="20" t="s">
        <v>353</v>
      </c>
      <c r="CB1" s="20" t="s">
        <v>354</v>
      </c>
      <c r="CC1" s="20" t="s">
        <v>355</v>
      </c>
      <c r="CD1" s="20" t="s">
        <v>356</v>
      </c>
      <c r="CE1" s="20" t="s">
        <v>357</v>
      </c>
      <c r="CF1" s="20" t="s">
        <v>358</v>
      </c>
      <c r="CG1" s="20" t="s">
        <v>359</v>
      </c>
      <c r="CH1" s="20" t="s">
        <v>360</v>
      </c>
      <c r="CI1" s="20" t="s">
        <v>361</v>
      </c>
      <c r="CJ1" s="20" t="s">
        <v>362</v>
      </c>
      <c r="CK1" s="20" t="s">
        <v>363</v>
      </c>
      <c r="CL1" s="20" t="s">
        <v>364</v>
      </c>
      <c r="CM1" s="20" t="s">
        <v>365</v>
      </c>
      <c r="CN1" s="20" t="s">
        <v>366</v>
      </c>
      <c r="CO1" s="20" t="s">
        <v>367</v>
      </c>
      <c r="CP1" s="20" t="s">
        <v>368</v>
      </c>
      <c r="CQ1" s="20" t="s">
        <v>369</v>
      </c>
      <c r="CR1" s="20" t="s">
        <v>370</v>
      </c>
      <c r="CS1" s="20" t="s">
        <v>371</v>
      </c>
      <c r="CT1" s="20" t="s">
        <v>372</v>
      </c>
      <c r="CU1" s="20" t="s">
        <v>373</v>
      </c>
      <c r="CV1" s="20" t="s">
        <v>374</v>
      </c>
      <c r="CW1" s="20" t="s">
        <v>375</v>
      </c>
      <c r="CX1" s="20" t="s">
        <v>376</v>
      </c>
      <c r="CY1" s="20" t="s">
        <v>377</v>
      </c>
      <c r="CZ1" s="20" t="s">
        <v>378</v>
      </c>
      <c r="DA1" s="20" t="s">
        <v>379</v>
      </c>
      <c r="DB1" s="20" t="s">
        <v>380</v>
      </c>
      <c r="DC1" s="20" t="s">
        <v>381</v>
      </c>
      <c r="DD1" s="20" t="s">
        <v>382</v>
      </c>
      <c r="DE1" s="20" t="s">
        <v>383</v>
      </c>
      <c r="DF1" s="20" t="s">
        <v>384</v>
      </c>
      <c r="DG1" s="20" t="s">
        <v>385</v>
      </c>
      <c r="DH1" s="20" t="s">
        <v>386</v>
      </c>
      <c r="DI1" s="20" t="s">
        <v>387</v>
      </c>
      <c r="DJ1" s="20" t="s">
        <v>388</v>
      </c>
      <c r="DK1" s="20" t="s">
        <v>389</v>
      </c>
      <c r="DL1" s="20" t="s">
        <v>390</v>
      </c>
      <c r="DM1" s="20" t="s">
        <v>391</v>
      </c>
      <c r="DN1" s="20" t="s">
        <v>392</v>
      </c>
      <c r="DO1" s="20" t="s">
        <v>393</v>
      </c>
      <c r="DP1" s="20" t="s">
        <v>394</v>
      </c>
      <c r="DQ1" s="20" t="s">
        <v>395</v>
      </c>
      <c r="DR1" s="20" t="s">
        <v>396</v>
      </c>
      <c r="DS1" s="20" t="s">
        <v>397</v>
      </c>
      <c r="DT1" s="20" t="s">
        <v>398</v>
      </c>
      <c r="DU1" s="20" t="s">
        <v>399</v>
      </c>
      <c r="DV1" s="20" t="s">
        <v>400</v>
      </c>
      <c r="DW1" s="20" t="s">
        <v>401</v>
      </c>
      <c r="DX1" s="20" t="s">
        <v>402</v>
      </c>
      <c r="DY1" s="20" t="s">
        <v>403</v>
      </c>
      <c r="DZ1" s="20" t="s">
        <v>404</v>
      </c>
      <c r="EA1" s="20" t="s">
        <v>405</v>
      </c>
      <c r="EB1" s="20" t="s">
        <v>406</v>
      </c>
      <c r="EC1" s="20" t="s">
        <v>407</v>
      </c>
      <c r="ED1" s="20" t="s">
        <v>408</v>
      </c>
      <c r="EE1" s="20" t="s">
        <v>409</v>
      </c>
      <c r="EF1" s="20" t="s">
        <v>410</v>
      </c>
      <c r="EG1" s="20" t="s">
        <v>411</v>
      </c>
      <c r="EH1" s="20" t="s">
        <v>412</v>
      </c>
      <c r="EI1" s="20" t="s">
        <v>413</v>
      </c>
      <c r="EJ1" s="20" t="s">
        <v>414</v>
      </c>
      <c r="EK1" s="20" t="s">
        <v>415</v>
      </c>
      <c r="EL1" s="20" t="s">
        <v>416</v>
      </c>
      <c r="EM1" s="20" t="s">
        <v>417</v>
      </c>
      <c r="EN1" s="20" t="s">
        <v>418</v>
      </c>
      <c r="EO1" s="20" t="s">
        <v>419</v>
      </c>
      <c r="EP1" s="20" t="s">
        <v>420</v>
      </c>
    </row>
    <row r="2" spans="1:146" x14ac:dyDescent="0.3">
      <c r="A2" s="20" t="s">
        <v>277</v>
      </c>
      <c r="B2" s="20" t="s">
        <v>421</v>
      </c>
      <c r="C2" s="20" t="s">
        <v>422</v>
      </c>
      <c r="D2" s="20" t="s">
        <v>423</v>
      </c>
      <c r="E2" s="20" t="s">
        <v>280</v>
      </c>
      <c r="F2" s="20" t="s">
        <v>424</v>
      </c>
      <c r="G2" s="20" t="s">
        <v>424</v>
      </c>
      <c r="H2" s="20" t="s">
        <v>424</v>
      </c>
      <c r="I2" s="20" t="s">
        <v>425</v>
      </c>
      <c r="J2" s="20" t="s">
        <v>426</v>
      </c>
      <c r="K2" s="20" t="s">
        <v>427</v>
      </c>
      <c r="L2" s="20" t="s">
        <v>427</v>
      </c>
      <c r="M2" s="20" t="s">
        <v>428</v>
      </c>
      <c r="N2" s="20" t="s">
        <v>429</v>
      </c>
      <c r="O2" s="20" t="s">
        <v>426</v>
      </c>
      <c r="P2" s="20" t="s">
        <v>430</v>
      </c>
      <c r="Q2" s="20" t="s">
        <v>431</v>
      </c>
      <c r="R2" s="20" t="s">
        <v>432</v>
      </c>
      <c r="S2" s="20" t="s">
        <v>424</v>
      </c>
      <c r="T2" s="20" t="s">
        <v>424</v>
      </c>
      <c r="U2" s="20" t="s">
        <v>429</v>
      </c>
      <c r="V2" s="20" t="s">
        <v>433</v>
      </c>
      <c r="W2" s="20" t="s">
        <v>433</v>
      </c>
      <c r="X2" s="20" t="s">
        <v>424</v>
      </c>
      <c r="Y2" s="20" t="s">
        <v>434</v>
      </c>
      <c r="Z2" s="20" t="s">
        <v>429</v>
      </c>
      <c r="AA2" s="20" t="s">
        <v>427</v>
      </c>
      <c r="AB2" s="20" t="s">
        <v>429</v>
      </c>
      <c r="AC2" s="20" t="s">
        <v>435</v>
      </c>
      <c r="AD2" s="20" t="s">
        <v>427</v>
      </c>
      <c r="AE2" s="20" t="s">
        <v>427</v>
      </c>
      <c r="AF2" s="20" t="s">
        <v>436</v>
      </c>
      <c r="AG2" s="20" t="s">
        <v>437</v>
      </c>
      <c r="AH2" s="20" t="s">
        <v>438</v>
      </c>
      <c r="AI2" s="20" t="s">
        <v>429</v>
      </c>
      <c r="AJ2" s="20" t="s">
        <v>429</v>
      </c>
      <c r="AK2" s="20" t="s">
        <v>439</v>
      </c>
      <c r="AL2" s="20" t="s">
        <v>439</v>
      </c>
      <c r="AM2" s="20" t="s">
        <v>440</v>
      </c>
      <c r="AN2" s="20" t="s">
        <v>440</v>
      </c>
      <c r="AO2" s="20" t="s">
        <v>440</v>
      </c>
      <c r="AP2" s="20" t="s">
        <v>441</v>
      </c>
      <c r="AQ2" s="20" t="s">
        <v>442</v>
      </c>
      <c r="AR2" s="20" t="s">
        <v>443</v>
      </c>
      <c r="AS2" s="20" t="s">
        <v>440</v>
      </c>
      <c r="AT2" s="20" t="s">
        <v>442</v>
      </c>
      <c r="AU2" s="20" t="s">
        <v>442</v>
      </c>
      <c r="AV2" s="20" t="s">
        <v>426</v>
      </c>
      <c r="AW2" s="20" t="s">
        <v>431</v>
      </c>
      <c r="AX2" s="20" t="s">
        <v>424</v>
      </c>
      <c r="AY2" s="20" t="s">
        <v>424</v>
      </c>
      <c r="AZ2" s="20" t="s">
        <v>424</v>
      </c>
      <c r="BA2" s="20" t="s">
        <v>444</v>
      </c>
      <c r="BB2" s="20" t="s">
        <v>429</v>
      </c>
      <c r="BC2" s="20" t="s">
        <v>427</v>
      </c>
      <c r="BD2" s="20" t="s">
        <v>427</v>
      </c>
      <c r="BE2" s="20" t="s">
        <v>424</v>
      </c>
      <c r="BF2" s="20" t="s">
        <v>445</v>
      </c>
      <c r="BG2" s="20" t="s">
        <v>424</v>
      </c>
      <c r="BH2" s="20" t="s">
        <v>431</v>
      </c>
      <c r="BI2" s="20" t="s">
        <v>440</v>
      </c>
      <c r="BJ2" s="20" t="s">
        <v>440</v>
      </c>
      <c r="BK2" s="20" t="s">
        <v>431</v>
      </c>
      <c r="BL2" s="20" t="s">
        <v>431</v>
      </c>
      <c r="BM2" s="20" t="s">
        <v>446</v>
      </c>
      <c r="BN2" s="20" t="s">
        <v>447</v>
      </c>
      <c r="BO2" s="20" t="s">
        <v>424</v>
      </c>
      <c r="BP2" s="20" t="s">
        <v>445</v>
      </c>
      <c r="BQ2" s="20" t="s">
        <v>424</v>
      </c>
      <c r="BR2" s="20" t="s">
        <v>448</v>
      </c>
      <c r="BS2" s="20" t="s">
        <v>424</v>
      </c>
      <c r="BT2" s="20" t="s">
        <v>431</v>
      </c>
      <c r="BU2" s="20" t="s">
        <v>424</v>
      </c>
      <c r="BV2" s="20" t="s">
        <v>427</v>
      </c>
      <c r="BW2" s="20" t="s">
        <v>449</v>
      </c>
      <c r="BX2" s="20" t="s">
        <v>429</v>
      </c>
      <c r="BY2" s="20" t="s">
        <v>429</v>
      </c>
      <c r="BZ2" s="20" t="s">
        <v>450</v>
      </c>
      <c r="CA2" s="20" t="s">
        <v>429</v>
      </c>
      <c r="CB2" s="20" t="s">
        <v>449</v>
      </c>
      <c r="CC2" s="20" t="s">
        <v>451</v>
      </c>
      <c r="CD2" s="20" t="s">
        <v>431</v>
      </c>
      <c r="CE2" s="20" t="s">
        <v>452</v>
      </c>
      <c r="CF2" s="20" t="s">
        <v>453</v>
      </c>
      <c r="CG2" s="20" t="s">
        <v>424</v>
      </c>
      <c r="CH2" s="20" t="s">
        <v>429</v>
      </c>
      <c r="CI2" s="20" t="s">
        <v>424</v>
      </c>
      <c r="CJ2" s="20" t="s">
        <v>433</v>
      </c>
      <c r="CK2" s="20" t="s">
        <v>424</v>
      </c>
      <c r="CL2" s="20" t="s">
        <v>429</v>
      </c>
      <c r="CM2" s="20" t="s">
        <v>429</v>
      </c>
      <c r="CN2" s="20" t="s">
        <v>429</v>
      </c>
      <c r="CO2" s="20" t="s">
        <v>454</v>
      </c>
      <c r="CP2" s="20" t="s">
        <v>433</v>
      </c>
      <c r="CQ2" s="20" t="s">
        <v>427</v>
      </c>
      <c r="CR2" s="20" t="s">
        <v>424</v>
      </c>
      <c r="CS2" s="20" t="s">
        <v>424</v>
      </c>
      <c r="CT2" s="20" t="s">
        <v>455</v>
      </c>
      <c r="CU2" s="20" t="s">
        <v>456</v>
      </c>
      <c r="CV2" s="20" t="s">
        <v>429</v>
      </c>
      <c r="CW2" s="20" t="s">
        <v>431</v>
      </c>
      <c r="CX2" s="20" t="s">
        <v>427</v>
      </c>
      <c r="CY2" s="20" t="s">
        <v>445</v>
      </c>
      <c r="CZ2" s="20" t="s">
        <v>424</v>
      </c>
      <c r="DA2" s="20" t="s">
        <v>426</v>
      </c>
      <c r="DB2" s="20" t="s">
        <v>457</v>
      </c>
      <c r="DC2" s="20" t="s">
        <v>458</v>
      </c>
      <c r="DD2" s="20" t="s">
        <v>458</v>
      </c>
      <c r="DE2" s="20" t="s">
        <v>458</v>
      </c>
      <c r="DF2" s="20" t="s">
        <v>458</v>
      </c>
      <c r="DG2" s="20" t="s">
        <v>458</v>
      </c>
      <c r="DH2" s="20" t="s">
        <v>458</v>
      </c>
      <c r="DI2" s="20" t="s">
        <v>458</v>
      </c>
      <c r="DJ2" s="20" t="s">
        <v>458</v>
      </c>
      <c r="DK2" s="20" t="s">
        <v>458</v>
      </c>
      <c r="DL2" s="20" t="s">
        <v>458</v>
      </c>
      <c r="DM2" s="20" t="s">
        <v>458</v>
      </c>
      <c r="DN2" s="20" t="s">
        <v>458</v>
      </c>
      <c r="DO2" s="20" t="s">
        <v>458</v>
      </c>
      <c r="DP2" s="20" t="s">
        <v>458</v>
      </c>
      <c r="DQ2" s="20" t="s">
        <v>458</v>
      </c>
      <c r="DR2" s="20" t="s">
        <v>458</v>
      </c>
      <c r="DS2" s="20" t="s">
        <v>458</v>
      </c>
      <c r="DT2" s="20" t="s">
        <v>458</v>
      </c>
      <c r="DU2" s="20" t="s">
        <v>459</v>
      </c>
      <c r="DV2" s="20" t="s">
        <v>459</v>
      </c>
      <c r="DW2" s="20" t="s">
        <v>458</v>
      </c>
      <c r="DX2" s="20" t="s">
        <v>458</v>
      </c>
      <c r="DY2" s="20" t="s">
        <v>458</v>
      </c>
      <c r="DZ2" s="20" t="s">
        <v>458</v>
      </c>
      <c r="EA2" s="20" t="s">
        <v>458</v>
      </c>
      <c r="EB2" s="20" t="s">
        <v>458</v>
      </c>
      <c r="EC2" s="20" t="s">
        <v>458</v>
      </c>
      <c r="ED2" s="20" t="s">
        <v>458</v>
      </c>
      <c r="EE2" s="20" t="s">
        <v>458</v>
      </c>
      <c r="EF2" s="20" t="s">
        <v>458</v>
      </c>
      <c r="EG2" s="20" t="s">
        <v>458</v>
      </c>
      <c r="EH2" s="20" t="s">
        <v>458</v>
      </c>
      <c r="EI2" s="20" t="s">
        <v>458</v>
      </c>
      <c r="EJ2" s="20" t="s">
        <v>458</v>
      </c>
      <c r="EK2" s="20" t="s">
        <v>458</v>
      </c>
      <c r="EL2" s="20" t="s">
        <v>458</v>
      </c>
      <c r="EM2" s="20" t="s">
        <v>458</v>
      </c>
      <c r="EN2" s="20" t="s">
        <v>458</v>
      </c>
      <c r="EO2" s="20" t="s">
        <v>458</v>
      </c>
      <c r="EP2" s="20" t="s">
        <v>458</v>
      </c>
    </row>
    <row r="3" spans="1:146" x14ac:dyDescent="0.3">
      <c r="A3" s="20" t="s">
        <v>278</v>
      </c>
      <c r="C3" s="20" t="s">
        <v>460</v>
      </c>
      <c r="D3" s="20" t="s">
        <v>461</v>
      </c>
      <c r="E3" s="20" t="s">
        <v>281</v>
      </c>
      <c r="F3" s="20" t="s">
        <v>449</v>
      </c>
      <c r="G3" s="20" t="s">
        <v>449</v>
      </c>
      <c r="H3" s="20" t="s">
        <v>449</v>
      </c>
      <c r="I3" s="20" t="s">
        <v>462</v>
      </c>
      <c r="J3" s="20" t="s">
        <v>463</v>
      </c>
      <c r="K3" s="20" t="s">
        <v>464</v>
      </c>
      <c r="L3" s="20" t="s">
        <v>464</v>
      </c>
      <c r="M3" s="20" t="s">
        <v>465</v>
      </c>
      <c r="N3" s="20" t="s">
        <v>466</v>
      </c>
      <c r="O3" s="20" t="s">
        <v>463</v>
      </c>
      <c r="P3" s="20" t="s">
        <v>467</v>
      </c>
      <c r="Q3" s="20" t="s">
        <v>468</v>
      </c>
      <c r="R3" s="20" t="s">
        <v>469</v>
      </c>
      <c r="S3" s="20" t="s">
        <v>470</v>
      </c>
      <c r="T3" s="20" t="s">
        <v>470</v>
      </c>
      <c r="U3" s="20" t="s">
        <v>466</v>
      </c>
      <c r="V3" s="20" t="s">
        <v>466</v>
      </c>
      <c r="W3" s="20" t="s">
        <v>466</v>
      </c>
      <c r="X3" s="20" t="s">
        <v>470</v>
      </c>
      <c r="Y3" s="20" t="s">
        <v>471</v>
      </c>
      <c r="Z3" s="20" t="s">
        <v>466</v>
      </c>
      <c r="AA3" s="20" t="s">
        <v>464</v>
      </c>
      <c r="AB3" s="20" t="s">
        <v>466</v>
      </c>
      <c r="AC3" s="20" t="s">
        <v>472</v>
      </c>
      <c r="AD3" s="20" t="s">
        <v>464</v>
      </c>
      <c r="AE3" s="20" t="s">
        <v>464</v>
      </c>
      <c r="AF3" s="20" t="s">
        <v>429</v>
      </c>
      <c r="AG3" s="20" t="s">
        <v>463</v>
      </c>
      <c r="AH3" s="20" t="s">
        <v>473</v>
      </c>
      <c r="AI3" s="20" t="s">
        <v>432</v>
      </c>
      <c r="AJ3" s="20" t="s">
        <v>432</v>
      </c>
      <c r="AK3" s="20" t="s">
        <v>474</v>
      </c>
      <c r="AL3" s="20" t="s">
        <v>474</v>
      </c>
      <c r="AM3" s="20" t="s">
        <v>475</v>
      </c>
      <c r="AN3" s="20" t="s">
        <v>431</v>
      </c>
      <c r="AO3" s="20" t="s">
        <v>431</v>
      </c>
      <c r="AP3" s="20" t="s">
        <v>447</v>
      </c>
      <c r="AQ3" s="20" t="s">
        <v>444</v>
      </c>
      <c r="AR3" s="20" t="s">
        <v>476</v>
      </c>
      <c r="AS3" s="20" t="s">
        <v>451</v>
      </c>
      <c r="AT3" s="20" t="s">
        <v>463</v>
      </c>
      <c r="AU3" s="20" t="s">
        <v>463</v>
      </c>
      <c r="AV3" s="20" t="s">
        <v>463</v>
      </c>
      <c r="AW3" s="20" t="s">
        <v>472</v>
      </c>
      <c r="AX3" s="20" t="s">
        <v>472</v>
      </c>
      <c r="AY3" s="20" t="s">
        <v>472</v>
      </c>
      <c r="AZ3" s="20" t="s">
        <v>472</v>
      </c>
      <c r="BA3" s="20" t="s">
        <v>427</v>
      </c>
      <c r="BB3" s="20" t="s">
        <v>477</v>
      </c>
      <c r="BC3" s="20" t="s">
        <v>464</v>
      </c>
      <c r="BD3" s="20" t="s">
        <v>464</v>
      </c>
      <c r="BE3" s="20" t="s">
        <v>478</v>
      </c>
      <c r="BF3" s="20" t="s">
        <v>451</v>
      </c>
      <c r="BG3" s="20" t="s">
        <v>478</v>
      </c>
      <c r="BH3" s="20" t="s">
        <v>451</v>
      </c>
      <c r="BI3" s="20" t="s">
        <v>431</v>
      </c>
      <c r="BJ3" s="20" t="s">
        <v>431</v>
      </c>
      <c r="BK3" s="20" t="s">
        <v>439</v>
      </c>
      <c r="BL3" s="20" t="s">
        <v>439</v>
      </c>
      <c r="BM3" s="20" t="s">
        <v>474</v>
      </c>
      <c r="BN3" s="20" t="s">
        <v>464</v>
      </c>
      <c r="BO3" s="20" t="s">
        <v>478</v>
      </c>
      <c r="BP3" s="20" t="s">
        <v>479</v>
      </c>
      <c r="BQ3" s="20" t="s">
        <v>480</v>
      </c>
      <c r="BR3" s="20" t="s">
        <v>480</v>
      </c>
      <c r="BS3" s="20" t="s">
        <v>478</v>
      </c>
      <c r="BT3" s="20" t="s">
        <v>448</v>
      </c>
      <c r="BU3" s="20" t="s">
        <v>480</v>
      </c>
      <c r="BV3" s="20" t="s">
        <v>464</v>
      </c>
      <c r="BW3" s="20" t="s">
        <v>445</v>
      </c>
      <c r="BX3" s="20" t="s">
        <v>433</v>
      </c>
      <c r="BY3" s="20" t="s">
        <v>433</v>
      </c>
      <c r="BZ3" s="20" t="s">
        <v>481</v>
      </c>
      <c r="CA3" s="20" t="s">
        <v>477</v>
      </c>
      <c r="CB3" s="20" t="s">
        <v>463</v>
      </c>
      <c r="CC3" s="20" t="s">
        <v>482</v>
      </c>
      <c r="CF3" s="20" t="s">
        <v>483</v>
      </c>
      <c r="CG3" s="20" t="s">
        <v>484</v>
      </c>
      <c r="CH3" s="20" t="s">
        <v>477</v>
      </c>
      <c r="CI3" s="20" t="s">
        <v>484</v>
      </c>
      <c r="CJ3" s="20" t="s">
        <v>477</v>
      </c>
      <c r="CK3" s="20" t="s">
        <v>484</v>
      </c>
      <c r="CL3" s="20" t="s">
        <v>477</v>
      </c>
      <c r="CM3" s="20" t="s">
        <v>477</v>
      </c>
      <c r="CN3" s="20" t="s">
        <v>477</v>
      </c>
      <c r="CO3" s="20" t="s">
        <v>485</v>
      </c>
      <c r="CP3" s="20" t="s">
        <v>474</v>
      </c>
      <c r="CQ3" s="20" t="s">
        <v>464</v>
      </c>
      <c r="CR3" s="20" t="s">
        <v>486</v>
      </c>
      <c r="CS3" s="20" t="s">
        <v>480</v>
      </c>
      <c r="CT3" s="20" t="s">
        <v>464</v>
      </c>
      <c r="CU3" s="20" t="s">
        <v>487</v>
      </c>
      <c r="CV3" s="20" t="s">
        <v>477</v>
      </c>
      <c r="CW3" s="20" t="s">
        <v>488</v>
      </c>
      <c r="CX3" s="20" t="s">
        <v>464</v>
      </c>
      <c r="CY3" s="20" t="s">
        <v>489</v>
      </c>
      <c r="CZ3" s="20" t="s">
        <v>484</v>
      </c>
      <c r="DA3" s="20" t="s">
        <v>463</v>
      </c>
      <c r="DB3" s="20" t="s">
        <v>463</v>
      </c>
      <c r="DC3" s="20" t="s">
        <v>490</v>
      </c>
      <c r="DD3" s="20" t="s">
        <v>490</v>
      </c>
      <c r="DE3" s="20" t="s">
        <v>490</v>
      </c>
      <c r="DF3" s="20" t="s">
        <v>490</v>
      </c>
      <c r="DG3" s="20" t="s">
        <v>490</v>
      </c>
      <c r="DH3" s="20" t="s">
        <v>490</v>
      </c>
      <c r="DI3" s="20" t="s">
        <v>490</v>
      </c>
      <c r="DJ3" s="20" t="s">
        <v>490</v>
      </c>
      <c r="DK3" s="20" t="s">
        <v>491</v>
      </c>
      <c r="DL3" s="20" t="s">
        <v>491</v>
      </c>
      <c r="DM3" s="20" t="s">
        <v>491</v>
      </c>
      <c r="DN3" s="20" t="s">
        <v>491</v>
      </c>
      <c r="DO3" s="20" t="s">
        <v>491</v>
      </c>
      <c r="DP3" s="20" t="s">
        <v>491</v>
      </c>
      <c r="DQ3" s="20" t="s">
        <v>491</v>
      </c>
      <c r="DR3" s="20" t="s">
        <v>491</v>
      </c>
      <c r="DS3" s="20" t="s">
        <v>491</v>
      </c>
      <c r="DT3" s="20" t="s">
        <v>491</v>
      </c>
      <c r="DU3" s="20" t="s">
        <v>492</v>
      </c>
      <c r="DV3" s="20" t="s">
        <v>492</v>
      </c>
      <c r="DW3" s="20" t="s">
        <v>491</v>
      </c>
      <c r="DX3" s="20" t="s">
        <v>491</v>
      </c>
      <c r="DY3" s="20" t="s">
        <v>491</v>
      </c>
      <c r="DZ3" s="20" t="s">
        <v>491</v>
      </c>
      <c r="EA3" s="20" t="s">
        <v>491</v>
      </c>
      <c r="EB3" s="20" t="s">
        <v>491</v>
      </c>
      <c r="EC3" s="20" t="s">
        <v>491</v>
      </c>
      <c r="ED3" s="20" t="s">
        <v>491</v>
      </c>
      <c r="EE3" s="20" t="s">
        <v>491</v>
      </c>
      <c r="EF3" s="20" t="s">
        <v>491</v>
      </c>
      <c r="EG3" s="20" t="s">
        <v>493</v>
      </c>
      <c r="EH3" s="20" t="s">
        <v>493</v>
      </c>
      <c r="EI3" s="20" t="s">
        <v>493</v>
      </c>
      <c r="EJ3" s="20" t="s">
        <v>493</v>
      </c>
      <c r="EK3" s="20" t="s">
        <v>493</v>
      </c>
      <c r="EL3" s="20" t="s">
        <v>494</v>
      </c>
      <c r="EM3" s="20" t="s">
        <v>493</v>
      </c>
      <c r="EN3" s="20" t="s">
        <v>493</v>
      </c>
      <c r="EO3" s="20" t="s">
        <v>493</v>
      </c>
      <c r="EP3" s="20" t="s">
        <v>493</v>
      </c>
    </row>
    <row r="4" spans="1:146" x14ac:dyDescent="0.3">
      <c r="C4" s="20" t="s">
        <v>495</v>
      </c>
      <c r="D4" s="20" t="s">
        <v>496</v>
      </c>
      <c r="E4" s="20" t="s">
        <v>282</v>
      </c>
      <c r="F4" s="20" t="s">
        <v>497</v>
      </c>
      <c r="G4" s="20" t="s">
        <v>498</v>
      </c>
      <c r="H4" s="20" t="s">
        <v>498</v>
      </c>
      <c r="I4" s="20" t="s">
        <v>499</v>
      </c>
      <c r="J4" s="20" t="s">
        <v>500</v>
      </c>
      <c r="K4" s="20" t="s">
        <v>501</v>
      </c>
      <c r="L4" s="20" t="s">
        <v>501</v>
      </c>
      <c r="M4" s="20" t="s">
        <v>502</v>
      </c>
      <c r="N4" s="20" t="s">
        <v>447</v>
      </c>
      <c r="O4" s="20" t="s">
        <v>447</v>
      </c>
      <c r="P4" s="20" t="s">
        <v>503</v>
      </c>
      <c r="Q4" s="20" t="s">
        <v>504</v>
      </c>
      <c r="R4" s="20" t="s">
        <v>505</v>
      </c>
      <c r="S4" s="20" t="s">
        <v>506</v>
      </c>
      <c r="T4" s="20" t="s">
        <v>506</v>
      </c>
      <c r="U4" s="20" t="s">
        <v>447</v>
      </c>
      <c r="V4" s="20" t="s">
        <v>427</v>
      </c>
      <c r="W4" s="20" t="s">
        <v>427</v>
      </c>
      <c r="X4" s="20" t="s">
        <v>480</v>
      </c>
      <c r="Y4" s="20" t="s">
        <v>507</v>
      </c>
      <c r="Z4" s="20" t="s">
        <v>447</v>
      </c>
      <c r="AA4" s="20" t="s">
        <v>501</v>
      </c>
      <c r="AB4" s="20" t="s">
        <v>447</v>
      </c>
      <c r="AC4" s="20" t="s">
        <v>478</v>
      </c>
      <c r="AD4" s="20" t="s">
        <v>501</v>
      </c>
      <c r="AE4" s="20" t="s">
        <v>501</v>
      </c>
      <c r="AF4" s="20" t="s">
        <v>505</v>
      </c>
      <c r="AG4" s="20" t="s">
        <v>473</v>
      </c>
      <c r="AH4" s="20" t="s">
        <v>427</v>
      </c>
      <c r="AI4" s="20" t="s">
        <v>447</v>
      </c>
      <c r="AJ4" s="20" t="s">
        <v>447</v>
      </c>
      <c r="AK4" s="20" t="s">
        <v>508</v>
      </c>
      <c r="AL4" s="20" t="s">
        <v>508</v>
      </c>
      <c r="AM4" s="20" t="s">
        <v>447</v>
      </c>
      <c r="AN4" s="20" t="s">
        <v>509</v>
      </c>
      <c r="AO4" s="20" t="s">
        <v>509</v>
      </c>
      <c r="AP4" s="20" t="s">
        <v>464</v>
      </c>
      <c r="AQ4" s="20" t="s">
        <v>508</v>
      </c>
      <c r="AR4" s="20" t="s">
        <v>510</v>
      </c>
      <c r="AS4" s="20" t="s">
        <v>509</v>
      </c>
      <c r="AT4" s="20" t="s">
        <v>511</v>
      </c>
      <c r="AU4" s="20" t="s">
        <v>511</v>
      </c>
      <c r="AV4" s="20" t="s">
        <v>512</v>
      </c>
      <c r="AW4" s="20" t="s">
        <v>452</v>
      </c>
      <c r="AX4" s="20" t="s">
        <v>452</v>
      </c>
      <c r="AY4" s="20" t="s">
        <v>452</v>
      </c>
      <c r="AZ4" s="20" t="s">
        <v>452</v>
      </c>
      <c r="BA4" s="20" t="s">
        <v>464</v>
      </c>
      <c r="BB4" s="20" t="s">
        <v>447</v>
      </c>
      <c r="BC4" s="20" t="s">
        <v>501</v>
      </c>
      <c r="BD4" s="20" t="s">
        <v>501</v>
      </c>
      <c r="BE4" s="20" t="s">
        <v>453</v>
      </c>
      <c r="BF4" s="20" t="s">
        <v>509</v>
      </c>
      <c r="BG4" s="20" t="s">
        <v>453</v>
      </c>
      <c r="BH4" s="20" t="s">
        <v>482</v>
      </c>
      <c r="BI4" s="20" t="s">
        <v>513</v>
      </c>
      <c r="BJ4" s="20" t="s">
        <v>509</v>
      </c>
      <c r="BK4" s="20" t="s">
        <v>475</v>
      </c>
      <c r="BL4" s="20" t="s">
        <v>475</v>
      </c>
      <c r="BM4" s="20" t="s">
        <v>451</v>
      </c>
      <c r="BN4" s="20" t="s">
        <v>514</v>
      </c>
      <c r="BO4" s="20" t="s">
        <v>453</v>
      </c>
      <c r="BP4" s="20" t="s">
        <v>515</v>
      </c>
      <c r="BQ4" s="20" t="s">
        <v>452</v>
      </c>
      <c r="BR4" s="20" t="s">
        <v>427</v>
      </c>
      <c r="BS4" s="20" t="s">
        <v>453</v>
      </c>
      <c r="BT4" s="20" t="s">
        <v>480</v>
      </c>
      <c r="BU4" s="20" t="s">
        <v>452</v>
      </c>
      <c r="BV4" s="20" t="s">
        <v>501</v>
      </c>
      <c r="BW4" s="20" t="s">
        <v>429</v>
      </c>
      <c r="BX4" s="20" t="s">
        <v>455</v>
      </c>
      <c r="BY4" s="20" t="s">
        <v>455</v>
      </c>
      <c r="BZ4" s="20" t="s">
        <v>516</v>
      </c>
      <c r="CA4" s="20" t="s">
        <v>455</v>
      </c>
      <c r="CB4" s="20" t="s">
        <v>455</v>
      </c>
      <c r="CC4" s="20" t="s">
        <v>517</v>
      </c>
      <c r="CF4" s="20" t="s">
        <v>518</v>
      </c>
      <c r="CG4" s="20" t="s">
        <v>453</v>
      </c>
      <c r="CH4" s="20" t="s">
        <v>455</v>
      </c>
      <c r="CI4" s="20" t="s">
        <v>453</v>
      </c>
      <c r="CJ4" s="20" t="s">
        <v>427</v>
      </c>
      <c r="CK4" s="20" t="s">
        <v>453</v>
      </c>
      <c r="CL4" s="20" t="s">
        <v>455</v>
      </c>
      <c r="CM4" s="20" t="s">
        <v>455</v>
      </c>
      <c r="CN4" s="20" t="s">
        <v>455</v>
      </c>
      <c r="CO4" s="20" t="s">
        <v>519</v>
      </c>
      <c r="CP4" s="20" t="s">
        <v>427</v>
      </c>
      <c r="CQ4" s="20" t="s">
        <v>520</v>
      </c>
      <c r="CR4" s="20" t="s">
        <v>521</v>
      </c>
      <c r="CS4" s="20" t="s">
        <v>478</v>
      </c>
      <c r="CT4" s="20" t="s">
        <v>485</v>
      </c>
      <c r="CU4" s="20" t="s">
        <v>508</v>
      </c>
      <c r="CV4" s="20" t="s">
        <v>455</v>
      </c>
      <c r="CW4" s="20" t="s">
        <v>451</v>
      </c>
      <c r="CX4" s="20" t="s">
        <v>501</v>
      </c>
      <c r="CY4" s="20" t="s">
        <v>522</v>
      </c>
      <c r="CZ4" s="20" t="s">
        <v>512</v>
      </c>
      <c r="DA4" s="20" t="s">
        <v>447</v>
      </c>
      <c r="DB4" s="20" t="s">
        <v>485</v>
      </c>
      <c r="DC4" s="20" t="s">
        <v>523</v>
      </c>
      <c r="DD4" s="20" t="s">
        <v>523</v>
      </c>
      <c r="DE4" s="20" t="s">
        <v>523</v>
      </c>
      <c r="DF4" s="20" t="s">
        <v>523</v>
      </c>
      <c r="DG4" s="20" t="s">
        <v>523</v>
      </c>
      <c r="DH4" s="20" t="s">
        <v>523</v>
      </c>
      <c r="DI4" s="20" t="s">
        <v>523</v>
      </c>
      <c r="DJ4" s="20" t="s">
        <v>523</v>
      </c>
      <c r="DK4" s="20" t="s">
        <v>523</v>
      </c>
      <c r="DL4" s="20" t="s">
        <v>523</v>
      </c>
      <c r="DM4" s="20" t="s">
        <v>523</v>
      </c>
      <c r="DN4" s="20" t="s">
        <v>523</v>
      </c>
      <c r="DO4" s="20" t="s">
        <v>523</v>
      </c>
      <c r="DP4" s="20" t="s">
        <v>523</v>
      </c>
      <c r="DQ4" s="20" t="s">
        <v>523</v>
      </c>
      <c r="DR4" s="20" t="s">
        <v>523</v>
      </c>
      <c r="DS4" s="20" t="s">
        <v>523</v>
      </c>
      <c r="DT4" s="20" t="s">
        <v>523</v>
      </c>
      <c r="DW4" s="20" t="s">
        <v>524</v>
      </c>
      <c r="DX4" s="20" t="s">
        <v>524</v>
      </c>
      <c r="DY4" s="20" t="s">
        <v>524</v>
      </c>
      <c r="DZ4" s="20" t="s">
        <v>524</v>
      </c>
      <c r="EA4" s="20" t="s">
        <v>524</v>
      </c>
      <c r="EB4" s="20" t="s">
        <v>524</v>
      </c>
      <c r="EC4" s="20" t="s">
        <v>524</v>
      </c>
      <c r="ED4" s="20" t="s">
        <v>524</v>
      </c>
      <c r="EE4" s="20" t="s">
        <v>524</v>
      </c>
      <c r="EF4" s="20" t="s">
        <v>524</v>
      </c>
      <c r="EG4" s="20" t="s">
        <v>525</v>
      </c>
      <c r="EH4" s="20" t="s">
        <v>525</v>
      </c>
      <c r="EI4" s="20" t="s">
        <v>525</v>
      </c>
      <c r="EJ4" s="20" t="s">
        <v>525</v>
      </c>
      <c r="EK4" s="20" t="s">
        <v>525</v>
      </c>
      <c r="EL4" s="20" t="s">
        <v>526</v>
      </c>
      <c r="EM4" s="20" t="s">
        <v>525</v>
      </c>
      <c r="EN4" s="20" t="s">
        <v>525</v>
      </c>
      <c r="EO4" s="20" t="s">
        <v>525</v>
      </c>
      <c r="EP4" s="20" t="s">
        <v>525</v>
      </c>
    </row>
    <row r="5" spans="1:146" x14ac:dyDescent="0.3">
      <c r="C5" s="20" t="s">
        <v>527</v>
      </c>
      <c r="D5" s="20" t="s">
        <v>528</v>
      </c>
      <c r="E5" s="20" t="s">
        <v>283</v>
      </c>
      <c r="F5" s="20" t="s">
        <v>521</v>
      </c>
      <c r="G5" s="20" t="s">
        <v>497</v>
      </c>
      <c r="H5" s="20" t="s">
        <v>478</v>
      </c>
      <c r="I5" s="20" t="s">
        <v>529</v>
      </c>
      <c r="J5" s="20" t="s">
        <v>530</v>
      </c>
      <c r="K5" s="20" t="s">
        <v>531</v>
      </c>
      <c r="L5" s="20" t="s">
        <v>531</v>
      </c>
      <c r="M5" s="20" t="s">
        <v>532</v>
      </c>
      <c r="N5" s="20" t="s">
        <v>464</v>
      </c>
      <c r="O5" s="20" t="s">
        <v>464</v>
      </c>
      <c r="P5" s="20" t="s">
        <v>533</v>
      </c>
      <c r="Q5" s="20" t="s">
        <v>534</v>
      </c>
      <c r="R5" s="20" t="s">
        <v>535</v>
      </c>
      <c r="S5" s="20" t="s">
        <v>521</v>
      </c>
      <c r="T5" s="20" t="s">
        <v>521</v>
      </c>
      <c r="U5" s="20" t="s">
        <v>464</v>
      </c>
      <c r="V5" s="20" t="s">
        <v>464</v>
      </c>
      <c r="W5" s="20" t="s">
        <v>464</v>
      </c>
      <c r="X5" s="20" t="s">
        <v>478</v>
      </c>
      <c r="Y5" s="20" t="s">
        <v>478</v>
      </c>
      <c r="Z5" s="20" t="s">
        <v>464</v>
      </c>
      <c r="AA5" s="20" t="s">
        <v>531</v>
      </c>
      <c r="AB5" s="20" t="s">
        <v>464</v>
      </c>
      <c r="AC5" s="20" t="s">
        <v>536</v>
      </c>
      <c r="AD5" s="20" t="s">
        <v>531</v>
      </c>
      <c r="AE5" s="20" t="s">
        <v>531</v>
      </c>
      <c r="AF5" s="20" t="s">
        <v>537</v>
      </c>
      <c r="AG5" s="20" t="s">
        <v>538</v>
      </c>
      <c r="AH5" s="20" t="s">
        <v>464</v>
      </c>
      <c r="AI5" s="20" t="s">
        <v>451</v>
      </c>
      <c r="AJ5" s="20" t="s">
        <v>451</v>
      </c>
      <c r="AK5" s="20" t="s">
        <v>451</v>
      </c>
      <c r="AL5" s="20" t="s">
        <v>451</v>
      </c>
      <c r="AM5" s="20" t="s">
        <v>539</v>
      </c>
      <c r="AN5" s="20" t="s">
        <v>540</v>
      </c>
      <c r="AO5" s="20" t="s">
        <v>540</v>
      </c>
      <c r="AP5" s="20" t="s">
        <v>539</v>
      </c>
      <c r="AQ5" s="20" t="s">
        <v>464</v>
      </c>
      <c r="AR5" s="20" t="s">
        <v>541</v>
      </c>
      <c r="AS5" s="20" t="s">
        <v>542</v>
      </c>
      <c r="AT5" s="20" t="s">
        <v>464</v>
      </c>
      <c r="AU5" s="20" t="s">
        <v>464</v>
      </c>
      <c r="AV5" s="20" t="s">
        <v>485</v>
      </c>
      <c r="AW5" s="20" t="s">
        <v>521</v>
      </c>
      <c r="AX5" s="20" t="s">
        <v>453</v>
      </c>
      <c r="AY5" s="20" t="s">
        <v>453</v>
      </c>
      <c r="AZ5" s="20" t="s">
        <v>453</v>
      </c>
      <c r="BA5" s="20" t="s">
        <v>543</v>
      </c>
      <c r="BB5" s="20" t="s">
        <v>464</v>
      </c>
      <c r="BC5" s="20" t="s">
        <v>531</v>
      </c>
      <c r="BD5" s="20" t="s">
        <v>531</v>
      </c>
      <c r="BE5" s="20" t="s">
        <v>544</v>
      </c>
      <c r="BF5" s="20" t="s">
        <v>545</v>
      </c>
      <c r="BG5" s="20" t="s">
        <v>544</v>
      </c>
      <c r="BH5" s="20" t="s">
        <v>545</v>
      </c>
      <c r="BI5" s="20" t="s">
        <v>509</v>
      </c>
      <c r="BJ5" s="20" t="s">
        <v>546</v>
      </c>
      <c r="BK5" s="20" t="s">
        <v>547</v>
      </c>
      <c r="BL5" s="20" t="s">
        <v>547</v>
      </c>
      <c r="BM5" s="20" t="s">
        <v>548</v>
      </c>
      <c r="BN5" s="20" t="s">
        <v>549</v>
      </c>
      <c r="BO5" s="20" t="s">
        <v>544</v>
      </c>
      <c r="BP5" s="20" t="s">
        <v>509</v>
      </c>
      <c r="BQ5" s="20" t="s">
        <v>478</v>
      </c>
      <c r="BR5" s="20" t="s">
        <v>464</v>
      </c>
      <c r="BS5" s="20" t="s">
        <v>544</v>
      </c>
      <c r="BT5" s="20" t="s">
        <v>451</v>
      </c>
      <c r="BU5" s="20" t="s">
        <v>478</v>
      </c>
      <c r="BV5" s="20" t="s">
        <v>531</v>
      </c>
      <c r="BW5" s="20" t="s">
        <v>477</v>
      </c>
      <c r="BX5" s="20" t="s">
        <v>427</v>
      </c>
      <c r="BY5" s="20" t="s">
        <v>427</v>
      </c>
      <c r="BZ5" s="20" t="s">
        <v>550</v>
      </c>
      <c r="CA5" s="20" t="s">
        <v>464</v>
      </c>
      <c r="CB5" s="20" t="s">
        <v>464</v>
      </c>
      <c r="CC5" s="20" t="s">
        <v>551</v>
      </c>
      <c r="CF5" s="20" t="s">
        <v>552</v>
      </c>
      <c r="CG5" s="20" t="s">
        <v>512</v>
      </c>
      <c r="CH5" s="20" t="s">
        <v>464</v>
      </c>
      <c r="CI5" s="20" t="s">
        <v>512</v>
      </c>
      <c r="CJ5" s="20" t="s">
        <v>464</v>
      </c>
      <c r="CK5" s="20" t="s">
        <v>512</v>
      </c>
      <c r="CL5" s="20" t="s">
        <v>464</v>
      </c>
      <c r="CM5" s="20" t="s">
        <v>464</v>
      </c>
      <c r="CN5" s="20" t="s">
        <v>464</v>
      </c>
      <c r="CO5" s="20" t="s">
        <v>553</v>
      </c>
      <c r="CP5" s="20" t="s">
        <v>464</v>
      </c>
      <c r="CQ5" s="20" t="s">
        <v>554</v>
      </c>
      <c r="CR5" s="20" t="s">
        <v>483</v>
      </c>
      <c r="CS5" s="20" t="s">
        <v>512</v>
      </c>
      <c r="CT5" s="20" t="s">
        <v>519</v>
      </c>
      <c r="CU5" s="20" t="s">
        <v>509</v>
      </c>
      <c r="CV5" s="20" t="s">
        <v>464</v>
      </c>
      <c r="CW5" s="20" t="s">
        <v>482</v>
      </c>
      <c r="CX5" s="20" t="s">
        <v>531</v>
      </c>
      <c r="CY5" s="20" t="s">
        <v>509</v>
      </c>
      <c r="CZ5" s="20" t="s">
        <v>555</v>
      </c>
      <c r="DA5" s="20" t="s">
        <v>512</v>
      </c>
      <c r="DB5" s="20" t="s">
        <v>544</v>
      </c>
      <c r="DC5" s="20" t="s">
        <v>556</v>
      </c>
      <c r="DD5" s="20" t="s">
        <v>556</v>
      </c>
      <c r="DE5" s="20" t="s">
        <v>556</v>
      </c>
      <c r="DF5" s="20" t="s">
        <v>556</v>
      </c>
      <c r="DG5" s="20" t="s">
        <v>556</v>
      </c>
      <c r="DH5" s="20" t="s">
        <v>556</v>
      </c>
      <c r="DI5" s="20" t="s">
        <v>556</v>
      </c>
      <c r="DJ5" s="20" t="s">
        <v>556</v>
      </c>
      <c r="DK5" s="20" t="s">
        <v>556</v>
      </c>
      <c r="DL5" s="20" t="s">
        <v>556</v>
      </c>
      <c r="DM5" s="20" t="s">
        <v>556</v>
      </c>
      <c r="DN5" s="20" t="s">
        <v>556</v>
      </c>
      <c r="DO5" s="20" t="s">
        <v>556</v>
      </c>
      <c r="DP5" s="20" t="s">
        <v>556</v>
      </c>
      <c r="DQ5" s="20" t="s">
        <v>556</v>
      </c>
      <c r="DR5" s="20" t="s">
        <v>556</v>
      </c>
      <c r="DS5" s="20" t="s">
        <v>556</v>
      </c>
      <c r="DT5" s="20" t="s">
        <v>556</v>
      </c>
      <c r="DW5" s="20" t="s">
        <v>556</v>
      </c>
      <c r="DX5" s="20" t="s">
        <v>556</v>
      </c>
      <c r="DY5" s="20" t="s">
        <v>556</v>
      </c>
      <c r="DZ5" s="20" t="s">
        <v>556</v>
      </c>
      <c r="EA5" s="20" t="s">
        <v>556</v>
      </c>
      <c r="EB5" s="20" t="s">
        <v>556</v>
      </c>
      <c r="EC5" s="20" t="s">
        <v>556</v>
      </c>
      <c r="ED5" s="20" t="s">
        <v>556</v>
      </c>
      <c r="EE5" s="20" t="s">
        <v>556</v>
      </c>
      <c r="EF5" s="20" t="s">
        <v>556</v>
      </c>
      <c r="EG5" s="20" t="s">
        <v>556</v>
      </c>
      <c r="EH5" s="20" t="s">
        <v>556</v>
      </c>
      <c r="EI5" s="20" t="s">
        <v>556</v>
      </c>
      <c r="EJ5" s="20" t="s">
        <v>556</v>
      </c>
      <c r="EK5" s="20" t="s">
        <v>556</v>
      </c>
      <c r="EL5" s="20" t="s">
        <v>556</v>
      </c>
      <c r="EM5" s="20" t="s">
        <v>556</v>
      </c>
      <c r="EN5" s="20" t="s">
        <v>556</v>
      </c>
      <c r="EO5" s="20" t="s">
        <v>556</v>
      </c>
      <c r="EP5" s="20" t="s">
        <v>556</v>
      </c>
    </row>
    <row r="6" spans="1:146" x14ac:dyDescent="0.3">
      <c r="D6" s="20" t="s">
        <v>557</v>
      </c>
      <c r="E6" s="20" t="s">
        <v>284</v>
      </c>
      <c r="F6" s="20" t="s">
        <v>558</v>
      </c>
      <c r="G6" s="20" t="s">
        <v>544</v>
      </c>
      <c r="H6" s="20" t="s">
        <v>544</v>
      </c>
      <c r="I6" s="20" t="s">
        <v>559</v>
      </c>
      <c r="J6" s="20" t="s">
        <v>464</v>
      </c>
      <c r="K6" s="20" t="s">
        <v>560</v>
      </c>
      <c r="L6" s="20" t="s">
        <v>560</v>
      </c>
      <c r="M6" s="20" t="s">
        <v>561</v>
      </c>
      <c r="N6" s="20" t="s">
        <v>514</v>
      </c>
      <c r="O6" s="20" t="s">
        <v>538</v>
      </c>
      <c r="P6" s="20" t="s">
        <v>562</v>
      </c>
      <c r="Q6" s="20" t="s">
        <v>563</v>
      </c>
      <c r="R6" s="20" t="s">
        <v>468</v>
      </c>
      <c r="S6" s="20" t="s">
        <v>564</v>
      </c>
      <c r="T6" s="20" t="s">
        <v>564</v>
      </c>
      <c r="U6" s="20" t="s">
        <v>539</v>
      </c>
      <c r="V6" s="20" t="s">
        <v>544</v>
      </c>
      <c r="W6" s="20" t="s">
        <v>544</v>
      </c>
      <c r="X6" s="20" t="s">
        <v>565</v>
      </c>
      <c r="Y6" s="20" t="s">
        <v>544</v>
      </c>
      <c r="Z6" s="20" t="s">
        <v>539</v>
      </c>
      <c r="AA6" s="20" t="s">
        <v>560</v>
      </c>
      <c r="AB6" s="20" t="s">
        <v>566</v>
      </c>
      <c r="AC6" s="20" t="s">
        <v>567</v>
      </c>
      <c r="AD6" s="20" t="s">
        <v>568</v>
      </c>
      <c r="AE6" s="20" t="s">
        <v>568</v>
      </c>
      <c r="AF6" s="20" t="s">
        <v>569</v>
      </c>
      <c r="AG6" s="20" t="s">
        <v>519</v>
      </c>
      <c r="AH6" s="20" t="s">
        <v>570</v>
      </c>
      <c r="AI6" s="20" t="s">
        <v>571</v>
      </c>
      <c r="AJ6" s="20" t="s">
        <v>571</v>
      </c>
      <c r="AK6" s="20" t="s">
        <v>572</v>
      </c>
      <c r="AL6" s="20" t="s">
        <v>572</v>
      </c>
      <c r="AM6" s="20" t="s">
        <v>573</v>
      </c>
      <c r="AN6" s="20" t="s">
        <v>537</v>
      </c>
      <c r="AO6" s="20" t="s">
        <v>537</v>
      </c>
      <c r="AP6" s="20" t="s">
        <v>574</v>
      </c>
      <c r="AQ6" s="20" t="s">
        <v>575</v>
      </c>
      <c r="AR6" s="20" t="s">
        <v>512</v>
      </c>
      <c r="AS6" s="20" t="s">
        <v>485</v>
      </c>
      <c r="AT6" s="20" t="s">
        <v>576</v>
      </c>
      <c r="AU6" s="20" t="s">
        <v>576</v>
      </c>
      <c r="AV6" s="20" t="s">
        <v>577</v>
      </c>
      <c r="AW6" s="20" t="s">
        <v>578</v>
      </c>
      <c r="AX6" s="20" t="s">
        <v>512</v>
      </c>
      <c r="AY6" s="20" t="s">
        <v>544</v>
      </c>
      <c r="AZ6" s="20" t="s">
        <v>544</v>
      </c>
      <c r="BA6" s="20" t="s">
        <v>570</v>
      </c>
      <c r="BB6" s="20" t="s">
        <v>485</v>
      </c>
      <c r="BC6" s="20" t="s">
        <v>544</v>
      </c>
      <c r="BD6" s="20" t="s">
        <v>544</v>
      </c>
      <c r="BE6" s="20" t="s">
        <v>579</v>
      </c>
      <c r="BF6" s="20" t="s">
        <v>537</v>
      </c>
      <c r="BG6" s="20" t="s">
        <v>579</v>
      </c>
      <c r="BH6" s="20" t="s">
        <v>580</v>
      </c>
      <c r="BI6" s="20" t="s">
        <v>552</v>
      </c>
      <c r="BJ6" s="20" t="s">
        <v>552</v>
      </c>
      <c r="BK6" s="20" t="s">
        <v>580</v>
      </c>
      <c r="BL6" s="20" t="s">
        <v>580</v>
      </c>
      <c r="BM6" s="20" t="s">
        <v>581</v>
      </c>
      <c r="BN6" s="20" t="s">
        <v>539</v>
      </c>
      <c r="BO6" s="20" t="s">
        <v>579</v>
      </c>
      <c r="BP6" s="20" t="s">
        <v>582</v>
      </c>
      <c r="BQ6" s="20" t="s">
        <v>578</v>
      </c>
      <c r="BR6" s="20" t="s">
        <v>544</v>
      </c>
      <c r="BS6" s="20" t="s">
        <v>579</v>
      </c>
      <c r="BT6" s="20" t="s">
        <v>482</v>
      </c>
      <c r="BU6" s="20" t="s">
        <v>578</v>
      </c>
      <c r="BV6" s="20" t="s">
        <v>544</v>
      </c>
      <c r="BW6" s="20" t="s">
        <v>441</v>
      </c>
      <c r="BX6" s="20" t="s">
        <v>583</v>
      </c>
      <c r="BY6" s="20" t="s">
        <v>583</v>
      </c>
      <c r="CA6" s="20" t="s">
        <v>583</v>
      </c>
      <c r="CB6" s="20" t="s">
        <v>512</v>
      </c>
      <c r="CC6" s="20" t="s">
        <v>545</v>
      </c>
      <c r="CG6" s="20" t="s">
        <v>564</v>
      </c>
      <c r="CH6" s="20" t="s">
        <v>553</v>
      </c>
      <c r="CI6" s="20" t="s">
        <v>564</v>
      </c>
      <c r="CJ6" s="20" t="s">
        <v>501</v>
      </c>
      <c r="CK6" s="20" t="s">
        <v>564</v>
      </c>
      <c r="CL6" s="20" t="s">
        <v>553</v>
      </c>
      <c r="CM6" s="20" t="s">
        <v>584</v>
      </c>
      <c r="CN6" s="20" t="s">
        <v>584</v>
      </c>
      <c r="CO6" s="20" t="s">
        <v>574</v>
      </c>
      <c r="CP6" s="20" t="s">
        <v>544</v>
      </c>
      <c r="CQ6" s="20" t="s">
        <v>544</v>
      </c>
      <c r="CR6" s="20" t="s">
        <v>518</v>
      </c>
      <c r="CS6" s="20" t="s">
        <v>518</v>
      </c>
      <c r="CT6" s="20" t="s">
        <v>553</v>
      </c>
      <c r="CU6" s="20" t="s">
        <v>585</v>
      </c>
      <c r="CV6" s="20" t="s">
        <v>583</v>
      </c>
      <c r="CW6" s="20" t="s">
        <v>586</v>
      </c>
      <c r="CX6" s="20" t="s">
        <v>587</v>
      </c>
      <c r="CY6" s="20" t="s">
        <v>569</v>
      </c>
      <c r="CZ6" s="20" t="s">
        <v>544</v>
      </c>
      <c r="DA6" s="20" t="s">
        <v>485</v>
      </c>
      <c r="DB6" s="20" t="s">
        <v>519</v>
      </c>
    </row>
    <row r="7" spans="1:146" x14ac:dyDescent="0.3">
      <c r="D7" s="20" t="s">
        <v>588</v>
      </c>
      <c r="E7" s="20" t="s">
        <v>285</v>
      </c>
      <c r="F7" s="20" t="s">
        <v>589</v>
      </c>
      <c r="G7" s="20" t="s">
        <v>590</v>
      </c>
      <c r="H7" s="20" t="s">
        <v>590</v>
      </c>
      <c r="I7" s="20" t="s">
        <v>591</v>
      </c>
      <c r="J7" s="20" t="s">
        <v>592</v>
      </c>
      <c r="K7" s="20" t="s">
        <v>592</v>
      </c>
      <c r="L7" s="20" t="s">
        <v>592</v>
      </c>
      <c r="M7" s="20" t="s">
        <v>593</v>
      </c>
      <c r="N7" s="20" t="s">
        <v>519</v>
      </c>
      <c r="O7" s="20" t="s">
        <v>485</v>
      </c>
      <c r="P7" s="20" t="s">
        <v>594</v>
      </c>
      <c r="Q7" s="20" t="s">
        <v>595</v>
      </c>
      <c r="R7" s="20" t="s">
        <v>504</v>
      </c>
      <c r="S7" s="20" t="s">
        <v>579</v>
      </c>
      <c r="T7" s="20" t="s">
        <v>579</v>
      </c>
      <c r="U7" s="20" t="s">
        <v>574</v>
      </c>
      <c r="V7" s="20" t="s">
        <v>519</v>
      </c>
      <c r="W7" s="20" t="s">
        <v>519</v>
      </c>
      <c r="X7" s="20" t="s">
        <v>579</v>
      </c>
      <c r="Y7" s="20" t="s">
        <v>564</v>
      </c>
      <c r="Z7" s="20" t="s">
        <v>574</v>
      </c>
      <c r="AA7" s="20" t="s">
        <v>592</v>
      </c>
      <c r="AB7" s="20" t="s">
        <v>596</v>
      </c>
      <c r="AC7" s="20" t="s">
        <v>597</v>
      </c>
      <c r="AD7" s="20" t="s">
        <v>598</v>
      </c>
      <c r="AE7" s="20" t="s">
        <v>598</v>
      </c>
      <c r="AF7" s="20" t="s">
        <v>599</v>
      </c>
      <c r="AG7" s="20" t="s">
        <v>600</v>
      </c>
      <c r="AH7" s="20" t="s">
        <v>574</v>
      </c>
      <c r="AI7" s="20" t="s">
        <v>517</v>
      </c>
      <c r="AJ7" s="20" t="s">
        <v>517</v>
      </c>
      <c r="AK7" s="20" t="s">
        <v>517</v>
      </c>
      <c r="AL7" s="20" t="s">
        <v>517</v>
      </c>
      <c r="AM7" s="20" t="s">
        <v>552</v>
      </c>
      <c r="AN7" s="20" t="s">
        <v>573</v>
      </c>
      <c r="AO7" s="20" t="s">
        <v>573</v>
      </c>
      <c r="AP7" s="20" t="s">
        <v>600</v>
      </c>
      <c r="AQ7" s="20" t="s">
        <v>592</v>
      </c>
      <c r="AR7" s="20" t="s">
        <v>601</v>
      </c>
      <c r="AS7" s="20" t="s">
        <v>552</v>
      </c>
      <c r="AT7" s="20" t="s">
        <v>485</v>
      </c>
      <c r="AU7" s="20" t="s">
        <v>485</v>
      </c>
      <c r="AV7" s="20" t="s">
        <v>549</v>
      </c>
      <c r="AW7" s="20" t="s">
        <v>483</v>
      </c>
      <c r="AX7" s="20" t="s">
        <v>564</v>
      </c>
      <c r="AY7" s="20" t="s">
        <v>483</v>
      </c>
      <c r="AZ7" s="20" t="s">
        <v>483</v>
      </c>
      <c r="BA7" s="20" t="s">
        <v>574</v>
      </c>
      <c r="BB7" s="20" t="s">
        <v>577</v>
      </c>
      <c r="BC7" s="20" t="s">
        <v>549</v>
      </c>
      <c r="BD7" s="20" t="s">
        <v>549</v>
      </c>
      <c r="BE7" s="20" t="s">
        <v>602</v>
      </c>
      <c r="BF7" s="20" t="s">
        <v>552</v>
      </c>
      <c r="BG7" s="20" t="s">
        <v>602</v>
      </c>
      <c r="BH7" s="20" t="s">
        <v>552</v>
      </c>
      <c r="BI7" s="20" t="s">
        <v>603</v>
      </c>
      <c r="BJ7" s="20" t="s">
        <v>603</v>
      </c>
      <c r="BK7" s="20" t="s">
        <v>552</v>
      </c>
      <c r="BL7" s="20" t="s">
        <v>552</v>
      </c>
      <c r="BM7" s="20" t="s">
        <v>569</v>
      </c>
      <c r="BN7" s="20" t="s">
        <v>545</v>
      </c>
      <c r="BO7" s="20" t="s">
        <v>602</v>
      </c>
      <c r="BP7" s="20" t="s">
        <v>550</v>
      </c>
      <c r="BQ7" s="20" t="s">
        <v>483</v>
      </c>
      <c r="BR7" s="20" t="s">
        <v>519</v>
      </c>
      <c r="BS7" s="20" t="s">
        <v>602</v>
      </c>
      <c r="BT7" s="20" t="s">
        <v>552</v>
      </c>
      <c r="BU7" s="20" t="s">
        <v>483</v>
      </c>
      <c r="BV7" s="20" t="s">
        <v>519</v>
      </c>
      <c r="BW7" s="20" t="s">
        <v>604</v>
      </c>
      <c r="BX7" s="20" t="s">
        <v>501</v>
      </c>
      <c r="BY7" s="20" t="s">
        <v>501</v>
      </c>
      <c r="CA7" s="20" t="s">
        <v>531</v>
      </c>
      <c r="CB7" s="20" t="s">
        <v>485</v>
      </c>
      <c r="CC7" s="20" t="s">
        <v>580</v>
      </c>
      <c r="CG7" s="20" t="s">
        <v>605</v>
      </c>
      <c r="CH7" s="20" t="s">
        <v>574</v>
      </c>
      <c r="CI7" s="20" t="s">
        <v>605</v>
      </c>
      <c r="CJ7" s="20" t="s">
        <v>531</v>
      </c>
      <c r="CK7" s="20" t="s">
        <v>605</v>
      </c>
      <c r="CL7" s="20" t="s">
        <v>574</v>
      </c>
      <c r="CM7" s="20" t="s">
        <v>485</v>
      </c>
      <c r="CN7" s="20" t="s">
        <v>485</v>
      </c>
      <c r="CO7" s="20" t="s">
        <v>552</v>
      </c>
      <c r="CP7" s="20" t="s">
        <v>581</v>
      </c>
      <c r="CQ7" s="20" t="s">
        <v>519</v>
      </c>
      <c r="CR7" s="20" t="s">
        <v>602</v>
      </c>
      <c r="CS7" s="20" t="s">
        <v>605</v>
      </c>
      <c r="CT7" s="20" t="s">
        <v>574</v>
      </c>
      <c r="CU7" s="20" t="s">
        <v>565</v>
      </c>
      <c r="CV7" s="20" t="s">
        <v>531</v>
      </c>
      <c r="CW7" s="20" t="s">
        <v>606</v>
      </c>
      <c r="CX7" s="20" t="s">
        <v>607</v>
      </c>
      <c r="CY7" s="20" t="s">
        <v>550</v>
      </c>
      <c r="CZ7" s="20" t="s">
        <v>605</v>
      </c>
      <c r="DA7" s="20" t="s">
        <v>596</v>
      </c>
      <c r="DB7" s="20" t="s">
        <v>605</v>
      </c>
    </row>
    <row r="8" spans="1:146" x14ac:dyDescent="0.3">
      <c r="D8" s="20" t="s">
        <v>608</v>
      </c>
      <c r="E8" s="20" t="s">
        <v>286</v>
      </c>
    </row>
    <row r="9" spans="1:146" x14ac:dyDescent="0.3">
      <c r="D9" s="20" t="s">
        <v>609</v>
      </c>
      <c r="E9" s="20" t="s">
        <v>287</v>
      </c>
    </row>
    <row r="10" spans="1:146" x14ac:dyDescent="0.3">
      <c r="D10" s="20" t="s">
        <v>610</v>
      </c>
      <c r="E10" s="20" t="s">
        <v>288</v>
      </c>
    </row>
    <row r="11" spans="1:146" x14ac:dyDescent="0.3">
      <c r="D11" s="20" t="s">
        <v>611</v>
      </c>
      <c r="E11" s="20" t="s">
        <v>289</v>
      </c>
    </row>
    <row r="12" spans="1:146" x14ac:dyDescent="0.3">
      <c r="D12" s="20" t="s">
        <v>612</v>
      </c>
      <c r="E12" s="20" t="s">
        <v>290</v>
      </c>
    </row>
    <row r="13" spans="1:146" x14ac:dyDescent="0.3">
      <c r="D13" s="20" t="s">
        <v>613</v>
      </c>
      <c r="E13" s="20" t="s">
        <v>291</v>
      </c>
    </row>
    <row r="14" spans="1:146" x14ac:dyDescent="0.3">
      <c r="D14" s="20" t="s">
        <v>614</v>
      </c>
      <c r="E14" s="20" t="s">
        <v>292</v>
      </c>
    </row>
    <row r="15" spans="1:146" x14ac:dyDescent="0.3">
      <c r="D15" s="20" t="s">
        <v>615</v>
      </c>
      <c r="E15" s="20" t="s">
        <v>293</v>
      </c>
    </row>
    <row r="16" spans="1:146" x14ac:dyDescent="0.3">
      <c r="D16" s="20" t="s">
        <v>616</v>
      </c>
      <c r="E16" s="20" t="s">
        <v>294</v>
      </c>
    </row>
    <row r="17" spans="4:5" x14ac:dyDescent="0.3">
      <c r="D17" s="20" t="s">
        <v>617</v>
      </c>
      <c r="E17" s="20" t="s">
        <v>295</v>
      </c>
    </row>
    <row r="18" spans="4:5" x14ac:dyDescent="0.3">
      <c r="D18" s="20" t="s">
        <v>618</v>
      </c>
      <c r="E18" s="20" t="s">
        <v>296</v>
      </c>
    </row>
    <row r="19" spans="4:5" x14ac:dyDescent="0.3">
      <c r="D19" s="20" t="s">
        <v>619</v>
      </c>
      <c r="E19" s="20" t="s">
        <v>297</v>
      </c>
    </row>
    <row r="20" spans="4:5" x14ac:dyDescent="0.3">
      <c r="D20" s="20" t="s">
        <v>620</v>
      </c>
      <c r="E20" s="20" t="s">
        <v>298</v>
      </c>
    </row>
    <row r="21" spans="4:5" x14ac:dyDescent="0.3">
      <c r="D21" s="20" t="s">
        <v>621</v>
      </c>
      <c r="E21" s="20" t="s">
        <v>299</v>
      </c>
    </row>
    <row r="22" spans="4:5" x14ac:dyDescent="0.3">
      <c r="D22" s="20" t="s">
        <v>622</v>
      </c>
      <c r="E22" s="20" t="s">
        <v>300</v>
      </c>
    </row>
    <row r="23" spans="4:5" x14ac:dyDescent="0.3">
      <c r="D23" s="20" t="s">
        <v>623</v>
      </c>
      <c r="E23" s="20" t="s">
        <v>301</v>
      </c>
    </row>
    <row r="24" spans="4:5" x14ac:dyDescent="0.3">
      <c r="D24" s="20" t="s">
        <v>624</v>
      </c>
      <c r="E24" s="20" t="s">
        <v>302</v>
      </c>
    </row>
    <row r="25" spans="4:5" x14ac:dyDescent="0.3">
      <c r="D25" s="20" t="s">
        <v>625</v>
      </c>
      <c r="E25" s="20" t="s">
        <v>303</v>
      </c>
    </row>
    <row r="26" spans="4:5" x14ac:dyDescent="0.3">
      <c r="D26" s="20" t="s">
        <v>626</v>
      </c>
      <c r="E26" s="20" t="s">
        <v>304</v>
      </c>
    </row>
    <row r="27" spans="4:5" x14ac:dyDescent="0.3">
      <c r="D27" s="20" t="s">
        <v>627</v>
      </c>
      <c r="E27" s="20" t="s">
        <v>305</v>
      </c>
    </row>
    <row r="28" spans="4:5" x14ac:dyDescent="0.3">
      <c r="D28" s="20" t="s">
        <v>628</v>
      </c>
      <c r="E28" s="20" t="s">
        <v>306</v>
      </c>
    </row>
    <row r="29" spans="4:5" x14ac:dyDescent="0.3">
      <c r="D29" s="20" t="s">
        <v>629</v>
      </c>
      <c r="E29" s="20" t="s">
        <v>307</v>
      </c>
    </row>
    <row r="30" spans="4:5" x14ac:dyDescent="0.3">
      <c r="D30" s="20" t="s">
        <v>630</v>
      </c>
      <c r="E30" s="20" t="s">
        <v>308</v>
      </c>
    </row>
    <row r="31" spans="4:5" x14ac:dyDescent="0.3">
      <c r="D31" s="20" t="s">
        <v>631</v>
      </c>
      <c r="E31" s="20" t="s">
        <v>309</v>
      </c>
    </row>
    <row r="32" spans="4:5" x14ac:dyDescent="0.3">
      <c r="D32" s="20" t="s">
        <v>632</v>
      </c>
      <c r="E32" s="20" t="s">
        <v>310</v>
      </c>
    </row>
    <row r="33" spans="4:5" x14ac:dyDescent="0.3">
      <c r="D33" s="20" t="s">
        <v>633</v>
      </c>
      <c r="E33" s="20" t="s">
        <v>311</v>
      </c>
    </row>
    <row r="34" spans="4:5" x14ac:dyDescent="0.3">
      <c r="D34" s="20" t="s">
        <v>634</v>
      </c>
      <c r="E34" s="20" t="s">
        <v>312</v>
      </c>
    </row>
    <row r="35" spans="4:5" x14ac:dyDescent="0.3">
      <c r="D35" s="20" t="s">
        <v>635</v>
      </c>
      <c r="E35" s="20" t="s">
        <v>313</v>
      </c>
    </row>
    <row r="36" spans="4:5" x14ac:dyDescent="0.3">
      <c r="D36" s="20" t="s">
        <v>636</v>
      </c>
      <c r="E36" s="20" t="s">
        <v>314</v>
      </c>
    </row>
    <row r="37" spans="4:5" x14ac:dyDescent="0.3">
      <c r="D37" s="20" t="s">
        <v>637</v>
      </c>
      <c r="E37" s="20" t="s">
        <v>315</v>
      </c>
    </row>
    <row r="38" spans="4:5" x14ac:dyDescent="0.3">
      <c r="D38" s="20" t="s">
        <v>638</v>
      </c>
      <c r="E38" s="20" t="s">
        <v>316</v>
      </c>
    </row>
    <row r="39" spans="4:5" x14ac:dyDescent="0.3">
      <c r="D39" s="20" t="s">
        <v>639</v>
      </c>
      <c r="E39" s="20" t="s">
        <v>317</v>
      </c>
    </row>
    <row r="40" spans="4:5" x14ac:dyDescent="0.3">
      <c r="D40" s="20" t="s">
        <v>640</v>
      </c>
      <c r="E40" s="20" t="s">
        <v>318</v>
      </c>
    </row>
    <row r="41" spans="4:5" x14ac:dyDescent="0.3">
      <c r="D41" s="20" t="s">
        <v>641</v>
      </c>
      <c r="E41" s="20" t="s">
        <v>319</v>
      </c>
    </row>
    <row r="42" spans="4:5" x14ac:dyDescent="0.3">
      <c r="D42" s="20" t="s">
        <v>642</v>
      </c>
      <c r="E42" s="20" t="s">
        <v>320</v>
      </c>
    </row>
    <row r="43" spans="4:5" x14ac:dyDescent="0.3">
      <c r="D43" s="20" t="s">
        <v>643</v>
      </c>
      <c r="E43" s="20" t="s">
        <v>321</v>
      </c>
    </row>
    <row r="44" spans="4:5" x14ac:dyDescent="0.3">
      <c r="D44" s="20" t="s">
        <v>644</v>
      </c>
      <c r="E44" s="20" t="s">
        <v>322</v>
      </c>
    </row>
    <row r="45" spans="4:5" x14ac:dyDescent="0.3">
      <c r="D45" s="20" t="s">
        <v>645</v>
      </c>
      <c r="E45" s="20" t="s">
        <v>323</v>
      </c>
    </row>
    <row r="46" spans="4:5" x14ac:dyDescent="0.3">
      <c r="D46" s="20" t="s">
        <v>646</v>
      </c>
      <c r="E46" s="20" t="s">
        <v>324</v>
      </c>
    </row>
    <row r="47" spans="4:5" x14ac:dyDescent="0.3">
      <c r="D47" s="20" t="s">
        <v>647</v>
      </c>
      <c r="E47" s="20" t="s">
        <v>325</v>
      </c>
    </row>
    <row r="48" spans="4:5" x14ac:dyDescent="0.3">
      <c r="D48" s="20" t="s">
        <v>648</v>
      </c>
      <c r="E48" s="20" t="s">
        <v>326</v>
      </c>
    </row>
    <row r="49" spans="4:5" x14ac:dyDescent="0.3">
      <c r="D49" s="20" t="s">
        <v>649</v>
      </c>
      <c r="E49" s="20" t="s">
        <v>327</v>
      </c>
    </row>
    <row r="50" spans="4:5" x14ac:dyDescent="0.3">
      <c r="D50" s="20" t="s">
        <v>650</v>
      </c>
      <c r="E50" s="20" t="s">
        <v>328</v>
      </c>
    </row>
    <row r="51" spans="4:5" x14ac:dyDescent="0.3">
      <c r="D51" s="20" t="s">
        <v>651</v>
      </c>
      <c r="E51" s="20" t="s">
        <v>329</v>
      </c>
    </row>
    <row r="52" spans="4:5" x14ac:dyDescent="0.3">
      <c r="D52" s="20" t="s">
        <v>652</v>
      </c>
      <c r="E52" s="20" t="s">
        <v>330</v>
      </c>
    </row>
    <row r="53" spans="4:5" x14ac:dyDescent="0.3">
      <c r="D53" s="20" t="s">
        <v>653</v>
      </c>
      <c r="E53" s="20" t="s">
        <v>331</v>
      </c>
    </row>
    <row r="54" spans="4:5" x14ac:dyDescent="0.3">
      <c r="D54" s="20" t="s">
        <v>654</v>
      </c>
      <c r="E54" s="20" t="s">
        <v>332</v>
      </c>
    </row>
    <row r="55" spans="4:5" x14ac:dyDescent="0.3">
      <c r="D55" s="20" t="s">
        <v>655</v>
      </c>
      <c r="E55" s="20" t="s">
        <v>333</v>
      </c>
    </row>
    <row r="56" spans="4:5" x14ac:dyDescent="0.3">
      <c r="D56" s="20" t="s">
        <v>656</v>
      </c>
      <c r="E56" s="20" t="s">
        <v>334</v>
      </c>
    </row>
    <row r="57" spans="4:5" x14ac:dyDescent="0.3">
      <c r="D57" s="20" t="s">
        <v>657</v>
      </c>
      <c r="E57" s="20" t="s">
        <v>335</v>
      </c>
    </row>
    <row r="58" spans="4:5" x14ac:dyDescent="0.3">
      <c r="D58" s="20" t="s">
        <v>658</v>
      </c>
      <c r="E58" s="20" t="s">
        <v>336</v>
      </c>
    </row>
    <row r="59" spans="4:5" x14ac:dyDescent="0.3">
      <c r="D59" s="20" t="s">
        <v>659</v>
      </c>
      <c r="E59" s="20" t="s">
        <v>337</v>
      </c>
    </row>
    <row r="60" spans="4:5" x14ac:dyDescent="0.3">
      <c r="D60" s="20" t="s">
        <v>660</v>
      </c>
      <c r="E60" s="20" t="s">
        <v>338</v>
      </c>
    </row>
    <row r="61" spans="4:5" x14ac:dyDescent="0.3">
      <c r="D61" s="20" t="s">
        <v>661</v>
      </c>
      <c r="E61" s="20" t="s">
        <v>339</v>
      </c>
    </row>
    <row r="62" spans="4:5" x14ac:dyDescent="0.3">
      <c r="D62" s="20" t="s">
        <v>662</v>
      </c>
      <c r="E62" s="20" t="s">
        <v>340</v>
      </c>
    </row>
    <row r="63" spans="4:5" x14ac:dyDescent="0.3">
      <c r="D63" s="20" t="s">
        <v>663</v>
      </c>
      <c r="E63" s="20" t="s">
        <v>341</v>
      </c>
    </row>
    <row r="64" spans="4:5" x14ac:dyDescent="0.3">
      <c r="D64" s="20" t="s">
        <v>664</v>
      </c>
      <c r="E64" s="20" t="s">
        <v>342</v>
      </c>
    </row>
    <row r="65" spans="4:5" x14ac:dyDescent="0.3">
      <c r="D65" s="20" t="s">
        <v>665</v>
      </c>
      <c r="E65" s="20" t="s">
        <v>343</v>
      </c>
    </row>
    <row r="66" spans="4:5" x14ac:dyDescent="0.3">
      <c r="D66" s="20" t="s">
        <v>666</v>
      </c>
      <c r="E66" s="20" t="s">
        <v>344</v>
      </c>
    </row>
    <row r="67" spans="4:5" x14ac:dyDescent="0.3">
      <c r="D67" s="20" t="s">
        <v>667</v>
      </c>
      <c r="E67" s="20" t="s">
        <v>345</v>
      </c>
    </row>
    <row r="68" spans="4:5" x14ac:dyDescent="0.3">
      <c r="D68" s="20" t="s">
        <v>668</v>
      </c>
      <c r="E68" s="20" t="s">
        <v>346</v>
      </c>
    </row>
    <row r="69" spans="4:5" x14ac:dyDescent="0.3">
      <c r="D69" s="20" t="s">
        <v>669</v>
      </c>
      <c r="E69" s="20" t="s">
        <v>347</v>
      </c>
    </row>
    <row r="70" spans="4:5" x14ac:dyDescent="0.3">
      <c r="D70" s="20" t="s">
        <v>670</v>
      </c>
      <c r="E70" s="20" t="s">
        <v>348</v>
      </c>
    </row>
    <row r="71" spans="4:5" x14ac:dyDescent="0.3">
      <c r="D71" s="20" t="s">
        <v>671</v>
      </c>
      <c r="E71" s="20" t="s">
        <v>349</v>
      </c>
    </row>
    <row r="72" spans="4:5" x14ac:dyDescent="0.3">
      <c r="D72" s="20" t="s">
        <v>672</v>
      </c>
      <c r="E72" s="20" t="s">
        <v>350</v>
      </c>
    </row>
    <row r="73" spans="4:5" x14ac:dyDescent="0.3">
      <c r="D73" s="20" t="s">
        <v>673</v>
      </c>
      <c r="E73" s="20" t="s">
        <v>351</v>
      </c>
    </row>
    <row r="74" spans="4:5" x14ac:dyDescent="0.3">
      <c r="D74" s="20" t="s">
        <v>674</v>
      </c>
      <c r="E74" s="20" t="s">
        <v>352</v>
      </c>
    </row>
    <row r="75" spans="4:5" x14ac:dyDescent="0.3">
      <c r="D75" s="20" t="s">
        <v>675</v>
      </c>
      <c r="E75" s="20" t="s">
        <v>353</v>
      </c>
    </row>
    <row r="76" spans="4:5" x14ac:dyDescent="0.3">
      <c r="D76" s="20" t="s">
        <v>676</v>
      </c>
      <c r="E76" s="20" t="s">
        <v>354</v>
      </c>
    </row>
    <row r="77" spans="4:5" x14ac:dyDescent="0.3">
      <c r="D77" s="20" t="s">
        <v>677</v>
      </c>
      <c r="E77" s="20" t="s">
        <v>355</v>
      </c>
    </row>
    <row r="78" spans="4:5" x14ac:dyDescent="0.3">
      <c r="D78" s="20" t="s">
        <v>678</v>
      </c>
      <c r="E78" s="20" t="s">
        <v>356</v>
      </c>
    </row>
    <row r="79" spans="4:5" x14ac:dyDescent="0.3">
      <c r="D79" s="20" t="s">
        <v>679</v>
      </c>
      <c r="E79" s="20" t="s">
        <v>357</v>
      </c>
    </row>
    <row r="80" spans="4:5" x14ac:dyDescent="0.3">
      <c r="D80" s="20" t="s">
        <v>680</v>
      </c>
      <c r="E80" s="20" t="s">
        <v>358</v>
      </c>
    </row>
    <row r="81" spans="4:5" x14ac:dyDescent="0.3">
      <c r="D81" s="20" t="s">
        <v>681</v>
      </c>
      <c r="E81" s="20" t="s">
        <v>359</v>
      </c>
    </row>
    <row r="82" spans="4:5" x14ac:dyDescent="0.3">
      <c r="D82" s="20" t="s">
        <v>682</v>
      </c>
      <c r="E82" s="20" t="s">
        <v>360</v>
      </c>
    </row>
    <row r="83" spans="4:5" x14ac:dyDescent="0.3">
      <c r="D83" s="20" t="s">
        <v>683</v>
      </c>
      <c r="E83" s="20" t="s">
        <v>361</v>
      </c>
    </row>
    <row r="84" spans="4:5" x14ac:dyDescent="0.3">
      <c r="D84" s="20" t="s">
        <v>684</v>
      </c>
      <c r="E84" s="20" t="s">
        <v>362</v>
      </c>
    </row>
    <row r="85" spans="4:5" x14ac:dyDescent="0.3">
      <c r="D85" s="20" t="s">
        <v>685</v>
      </c>
      <c r="E85" s="20" t="s">
        <v>363</v>
      </c>
    </row>
    <row r="86" spans="4:5" x14ac:dyDescent="0.3">
      <c r="D86" s="20" t="s">
        <v>686</v>
      </c>
      <c r="E86" s="20" t="s">
        <v>364</v>
      </c>
    </row>
    <row r="87" spans="4:5" x14ac:dyDescent="0.3">
      <c r="D87" s="20" t="s">
        <v>687</v>
      </c>
      <c r="E87" s="20" t="s">
        <v>365</v>
      </c>
    </row>
    <row r="88" spans="4:5" x14ac:dyDescent="0.3">
      <c r="D88" s="20" t="s">
        <v>688</v>
      </c>
      <c r="E88" s="20" t="s">
        <v>366</v>
      </c>
    </row>
    <row r="89" spans="4:5" x14ac:dyDescent="0.3">
      <c r="D89" s="20" t="s">
        <v>689</v>
      </c>
      <c r="E89" s="20" t="s">
        <v>367</v>
      </c>
    </row>
    <row r="90" spans="4:5" x14ac:dyDescent="0.3">
      <c r="D90" s="20" t="s">
        <v>690</v>
      </c>
      <c r="E90" s="20" t="s">
        <v>368</v>
      </c>
    </row>
    <row r="91" spans="4:5" x14ac:dyDescent="0.3">
      <c r="D91" s="20" t="s">
        <v>691</v>
      </c>
      <c r="E91" s="20" t="s">
        <v>369</v>
      </c>
    </row>
    <row r="92" spans="4:5" x14ac:dyDescent="0.3">
      <c r="D92" s="20" t="s">
        <v>692</v>
      </c>
      <c r="E92" s="20" t="s">
        <v>370</v>
      </c>
    </row>
    <row r="93" spans="4:5" x14ac:dyDescent="0.3">
      <c r="D93" s="20" t="s">
        <v>693</v>
      </c>
      <c r="E93" s="20" t="s">
        <v>371</v>
      </c>
    </row>
    <row r="94" spans="4:5" x14ac:dyDescent="0.3">
      <c r="D94" s="20" t="s">
        <v>694</v>
      </c>
      <c r="E94" s="20" t="s">
        <v>372</v>
      </c>
    </row>
    <row r="95" spans="4:5" x14ac:dyDescent="0.3">
      <c r="D95" s="20" t="s">
        <v>695</v>
      </c>
      <c r="E95" s="20" t="s">
        <v>373</v>
      </c>
    </row>
    <row r="96" spans="4:5" x14ac:dyDescent="0.3">
      <c r="D96" s="20" t="s">
        <v>696</v>
      </c>
      <c r="E96" s="20" t="s">
        <v>374</v>
      </c>
    </row>
    <row r="97" spans="4:5" x14ac:dyDescent="0.3">
      <c r="D97" s="20" t="s">
        <v>697</v>
      </c>
      <c r="E97" s="20" t="s">
        <v>375</v>
      </c>
    </row>
    <row r="98" spans="4:5" x14ac:dyDescent="0.3">
      <c r="D98" s="20" t="s">
        <v>698</v>
      </c>
      <c r="E98" s="20" t="s">
        <v>376</v>
      </c>
    </row>
    <row r="99" spans="4:5" x14ac:dyDescent="0.3">
      <c r="D99" s="20" t="s">
        <v>699</v>
      </c>
      <c r="E99" s="20" t="s">
        <v>377</v>
      </c>
    </row>
    <row r="100" spans="4:5" x14ac:dyDescent="0.3">
      <c r="D100" s="20" t="s">
        <v>700</v>
      </c>
      <c r="E100" s="20" t="s">
        <v>378</v>
      </c>
    </row>
    <row r="101" spans="4:5" x14ac:dyDescent="0.3">
      <c r="D101" s="20" t="s">
        <v>701</v>
      </c>
      <c r="E101" s="20" t="s">
        <v>379</v>
      </c>
    </row>
    <row r="102" spans="4:5" x14ac:dyDescent="0.3">
      <c r="D102" s="20" t="s">
        <v>702</v>
      </c>
      <c r="E102" s="20" t="s">
        <v>380</v>
      </c>
    </row>
    <row r="103" spans="4:5" x14ac:dyDescent="0.3">
      <c r="D103" s="20" t="s">
        <v>703</v>
      </c>
      <c r="E103" s="20" t="s">
        <v>381</v>
      </c>
    </row>
    <row r="104" spans="4:5" x14ac:dyDescent="0.3">
      <c r="D104" s="20" t="s">
        <v>704</v>
      </c>
      <c r="E104" s="20" t="s">
        <v>382</v>
      </c>
    </row>
    <row r="105" spans="4:5" x14ac:dyDescent="0.3">
      <c r="D105" s="20" t="s">
        <v>705</v>
      </c>
      <c r="E105" s="20" t="s">
        <v>383</v>
      </c>
    </row>
    <row r="106" spans="4:5" x14ac:dyDescent="0.3">
      <c r="D106" s="20" t="s">
        <v>706</v>
      </c>
      <c r="E106" s="20" t="s">
        <v>384</v>
      </c>
    </row>
    <row r="107" spans="4:5" x14ac:dyDescent="0.3">
      <c r="D107" s="20" t="s">
        <v>707</v>
      </c>
      <c r="E107" s="20" t="s">
        <v>385</v>
      </c>
    </row>
    <row r="108" spans="4:5" x14ac:dyDescent="0.3">
      <c r="D108" s="20" t="s">
        <v>708</v>
      </c>
      <c r="E108" s="20" t="s">
        <v>386</v>
      </c>
    </row>
    <row r="109" spans="4:5" x14ac:dyDescent="0.3">
      <c r="D109" s="20" t="s">
        <v>709</v>
      </c>
      <c r="E109" s="20" t="s">
        <v>387</v>
      </c>
    </row>
    <row r="110" spans="4:5" x14ac:dyDescent="0.3">
      <c r="D110" s="20" t="s">
        <v>710</v>
      </c>
      <c r="E110" s="20" t="s">
        <v>388</v>
      </c>
    </row>
    <row r="111" spans="4:5" x14ac:dyDescent="0.3">
      <c r="D111" s="20" t="s">
        <v>711</v>
      </c>
      <c r="E111" s="20" t="s">
        <v>389</v>
      </c>
    </row>
    <row r="112" spans="4:5" x14ac:dyDescent="0.3">
      <c r="D112" s="20" t="s">
        <v>712</v>
      </c>
      <c r="E112" s="20" t="s">
        <v>390</v>
      </c>
    </row>
    <row r="113" spans="4:5" x14ac:dyDescent="0.3">
      <c r="D113" s="20" t="s">
        <v>713</v>
      </c>
      <c r="E113" s="20" t="s">
        <v>391</v>
      </c>
    </row>
    <row r="114" spans="4:5" x14ac:dyDescent="0.3">
      <c r="D114" s="20" t="s">
        <v>714</v>
      </c>
      <c r="E114" s="20" t="s">
        <v>392</v>
      </c>
    </row>
    <row r="115" spans="4:5" x14ac:dyDescent="0.3">
      <c r="D115" s="20" t="s">
        <v>715</v>
      </c>
      <c r="E115" s="20" t="s">
        <v>393</v>
      </c>
    </row>
    <row r="116" spans="4:5" x14ac:dyDescent="0.3">
      <c r="D116" s="20" t="s">
        <v>716</v>
      </c>
      <c r="E116" s="20" t="s">
        <v>394</v>
      </c>
    </row>
    <row r="117" spans="4:5" x14ac:dyDescent="0.3">
      <c r="D117" s="20" t="s">
        <v>717</v>
      </c>
      <c r="E117" s="20" t="s">
        <v>395</v>
      </c>
    </row>
    <row r="118" spans="4:5" x14ac:dyDescent="0.3">
      <c r="D118" s="20" t="s">
        <v>718</v>
      </c>
      <c r="E118" s="20" t="s">
        <v>396</v>
      </c>
    </row>
    <row r="119" spans="4:5" x14ac:dyDescent="0.3">
      <c r="D119" s="20" t="s">
        <v>719</v>
      </c>
      <c r="E119" s="20" t="s">
        <v>397</v>
      </c>
    </row>
    <row r="120" spans="4:5" x14ac:dyDescent="0.3">
      <c r="D120" s="20" t="s">
        <v>720</v>
      </c>
      <c r="E120" s="20" t="s">
        <v>398</v>
      </c>
    </row>
    <row r="121" spans="4:5" x14ac:dyDescent="0.3">
      <c r="D121" s="20" t="s">
        <v>721</v>
      </c>
      <c r="E121" s="20" t="s">
        <v>399</v>
      </c>
    </row>
    <row r="122" spans="4:5" x14ac:dyDescent="0.3">
      <c r="D122" s="20" t="s">
        <v>722</v>
      </c>
      <c r="E122" s="20" t="s">
        <v>400</v>
      </c>
    </row>
    <row r="123" spans="4:5" x14ac:dyDescent="0.3">
      <c r="D123" s="20" t="s">
        <v>723</v>
      </c>
      <c r="E123" s="20" t="s">
        <v>401</v>
      </c>
    </row>
    <row r="124" spans="4:5" x14ac:dyDescent="0.3">
      <c r="D124" s="20" t="s">
        <v>724</v>
      </c>
      <c r="E124" s="20" t="s">
        <v>402</v>
      </c>
    </row>
    <row r="125" spans="4:5" x14ac:dyDescent="0.3">
      <c r="D125" s="20" t="s">
        <v>725</v>
      </c>
      <c r="E125" s="20" t="s">
        <v>403</v>
      </c>
    </row>
    <row r="126" spans="4:5" x14ac:dyDescent="0.3">
      <c r="D126" s="20" t="s">
        <v>726</v>
      </c>
      <c r="E126" s="20" t="s">
        <v>404</v>
      </c>
    </row>
    <row r="127" spans="4:5" x14ac:dyDescent="0.3">
      <c r="D127" s="20" t="s">
        <v>727</v>
      </c>
      <c r="E127" s="20" t="s">
        <v>405</v>
      </c>
    </row>
    <row r="128" spans="4:5" x14ac:dyDescent="0.3">
      <c r="D128" s="20" t="s">
        <v>728</v>
      </c>
      <c r="E128" s="20" t="s">
        <v>406</v>
      </c>
    </row>
    <row r="129" spans="4:5" x14ac:dyDescent="0.3">
      <c r="D129" s="20" t="s">
        <v>729</v>
      </c>
      <c r="E129" s="20" t="s">
        <v>407</v>
      </c>
    </row>
    <row r="130" spans="4:5" x14ac:dyDescent="0.3">
      <c r="D130" s="20" t="s">
        <v>730</v>
      </c>
      <c r="E130" s="20" t="s">
        <v>408</v>
      </c>
    </row>
    <row r="131" spans="4:5" x14ac:dyDescent="0.3">
      <c r="D131" s="20" t="s">
        <v>731</v>
      </c>
      <c r="E131" s="20" t="s">
        <v>409</v>
      </c>
    </row>
    <row r="132" spans="4:5" x14ac:dyDescent="0.3">
      <c r="D132" s="20" t="s">
        <v>732</v>
      </c>
      <c r="E132" s="20" t="s">
        <v>410</v>
      </c>
    </row>
    <row r="133" spans="4:5" x14ac:dyDescent="0.3">
      <c r="D133" s="20" t="s">
        <v>733</v>
      </c>
      <c r="E133" s="20" t="s">
        <v>411</v>
      </c>
    </row>
    <row r="134" spans="4:5" x14ac:dyDescent="0.3">
      <c r="D134" s="20" t="s">
        <v>734</v>
      </c>
      <c r="E134" s="20" t="s">
        <v>412</v>
      </c>
    </row>
    <row r="135" spans="4:5" x14ac:dyDescent="0.3">
      <c r="D135" s="20" t="s">
        <v>735</v>
      </c>
      <c r="E135" s="20" t="s">
        <v>413</v>
      </c>
    </row>
    <row r="136" spans="4:5" x14ac:dyDescent="0.3">
      <c r="D136" s="20" t="s">
        <v>736</v>
      </c>
      <c r="E136" s="20" t="s">
        <v>414</v>
      </c>
    </row>
    <row r="137" spans="4:5" x14ac:dyDescent="0.3">
      <c r="D137" s="20" t="s">
        <v>737</v>
      </c>
      <c r="E137" s="20" t="s">
        <v>415</v>
      </c>
    </row>
    <row r="138" spans="4:5" x14ac:dyDescent="0.3">
      <c r="D138" s="20" t="s">
        <v>738</v>
      </c>
      <c r="E138" s="20" t="s">
        <v>416</v>
      </c>
    </row>
    <row r="139" spans="4:5" x14ac:dyDescent="0.3">
      <c r="D139" s="20" t="s">
        <v>739</v>
      </c>
      <c r="E139" s="20" t="s">
        <v>417</v>
      </c>
    </row>
    <row r="140" spans="4:5" x14ac:dyDescent="0.3">
      <c r="D140" s="20" t="s">
        <v>740</v>
      </c>
      <c r="E140" s="20" t="s">
        <v>418</v>
      </c>
    </row>
    <row r="141" spans="4:5" x14ac:dyDescent="0.3">
      <c r="D141" s="20" t="s">
        <v>741</v>
      </c>
      <c r="E141" s="20" t="s">
        <v>419</v>
      </c>
    </row>
    <row r="142" spans="4:5" x14ac:dyDescent="0.3">
      <c r="D142" s="20" t="s">
        <v>742</v>
      </c>
      <c r="E142" s="20" t="s">
        <v>420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7BD937A-5713-4394-8543-A1CA7893D614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154</vt:i4>
      </vt:variant>
    </vt:vector>
  </HeadingPairs>
  <TitlesOfParts>
    <vt:vector size="161" baseType="lpstr">
      <vt:lpstr>BASE BID</vt:lpstr>
      <vt:lpstr>BID ALT.</vt:lpstr>
      <vt:lpstr>Dashboard</vt:lpstr>
      <vt:lpstr>Data for Dashboard</vt:lpstr>
      <vt:lpstr>COST SUMMARY</vt:lpstr>
      <vt:lpstr>HOURLY RATES</vt:lpstr>
      <vt:lpstr>Data for Rough Cost</vt:lpstr>
      <vt:lpstr>Average</vt:lpstr>
      <vt:lpstr>Average1</vt:lpstr>
      <vt:lpstr>Average10</vt:lpstr>
      <vt:lpstr>Average11</vt:lpstr>
      <vt:lpstr>Average12</vt:lpstr>
      <vt:lpstr>Average2</vt:lpstr>
      <vt:lpstr>Average3</vt:lpstr>
      <vt:lpstr>Average4</vt:lpstr>
      <vt:lpstr>Average5</vt:lpstr>
      <vt:lpstr>Average6</vt:lpstr>
      <vt:lpstr>Average7</vt:lpstr>
      <vt:lpstr>Average8</vt:lpstr>
      <vt:lpstr>Average9</vt:lpstr>
      <vt:lpstr>Categories</vt:lpstr>
      <vt:lpstr>Commercial</vt:lpstr>
      <vt:lpstr>Custom</vt:lpstr>
      <vt:lpstr>Custom1</vt:lpstr>
      <vt:lpstr>Custom10</vt:lpstr>
      <vt:lpstr>Custom2</vt:lpstr>
      <vt:lpstr>Custom3</vt:lpstr>
      <vt:lpstr>Custom4</vt:lpstr>
      <vt:lpstr>Custom5</vt:lpstr>
      <vt:lpstr>Custom6</vt:lpstr>
      <vt:lpstr>Custom7</vt:lpstr>
      <vt:lpstr>Custom8</vt:lpstr>
      <vt:lpstr>Custom9</vt:lpstr>
      <vt:lpstr>Default</vt:lpstr>
      <vt:lpstr>Default1</vt:lpstr>
      <vt:lpstr>Default10</vt:lpstr>
      <vt:lpstr>Default100</vt:lpstr>
      <vt:lpstr>Default101</vt:lpstr>
      <vt:lpstr>Default11</vt:lpstr>
      <vt:lpstr>Default12</vt:lpstr>
      <vt:lpstr>Default13</vt:lpstr>
      <vt:lpstr>Default14</vt:lpstr>
      <vt:lpstr>Default15</vt:lpstr>
      <vt:lpstr>Default16</vt:lpstr>
      <vt:lpstr>Default17</vt:lpstr>
      <vt:lpstr>Default18</vt:lpstr>
      <vt:lpstr>Default19</vt:lpstr>
      <vt:lpstr>Default2</vt:lpstr>
      <vt:lpstr>Default20</vt:lpstr>
      <vt:lpstr>Default21</vt:lpstr>
      <vt:lpstr>Default22</vt:lpstr>
      <vt:lpstr>Default23</vt:lpstr>
      <vt:lpstr>Default24</vt:lpstr>
      <vt:lpstr>Default25</vt:lpstr>
      <vt:lpstr>Default26</vt:lpstr>
      <vt:lpstr>Default27</vt:lpstr>
      <vt:lpstr>Default28</vt:lpstr>
      <vt:lpstr>Default29</vt:lpstr>
      <vt:lpstr>Default3</vt:lpstr>
      <vt:lpstr>Default30</vt:lpstr>
      <vt:lpstr>Default31</vt:lpstr>
      <vt:lpstr>Default32</vt:lpstr>
      <vt:lpstr>Default33</vt:lpstr>
      <vt:lpstr>Default34</vt:lpstr>
      <vt:lpstr>Default35</vt:lpstr>
      <vt:lpstr>Default36</vt:lpstr>
      <vt:lpstr>Default37</vt:lpstr>
      <vt:lpstr>Default38</vt:lpstr>
      <vt:lpstr>Default39</vt:lpstr>
      <vt:lpstr>Default4</vt:lpstr>
      <vt:lpstr>Default40</vt:lpstr>
      <vt:lpstr>Default41</vt:lpstr>
      <vt:lpstr>Default42</vt:lpstr>
      <vt:lpstr>Default43</vt:lpstr>
      <vt:lpstr>Default44</vt:lpstr>
      <vt:lpstr>Default45</vt:lpstr>
      <vt:lpstr>Default46</vt:lpstr>
      <vt:lpstr>Default47</vt:lpstr>
      <vt:lpstr>Default48</vt:lpstr>
      <vt:lpstr>Default49</vt:lpstr>
      <vt:lpstr>Default5</vt:lpstr>
      <vt:lpstr>Default50</vt:lpstr>
      <vt:lpstr>Default51</vt:lpstr>
      <vt:lpstr>Default52</vt:lpstr>
      <vt:lpstr>Default53</vt:lpstr>
      <vt:lpstr>Default54</vt:lpstr>
      <vt:lpstr>Default55</vt:lpstr>
      <vt:lpstr>Default56</vt:lpstr>
      <vt:lpstr>Default57</vt:lpstr>
      <vt:lpstr>Default58</vt:lpstr>
      <vt:lpstr>Default59</vt:lpstr>
      <vt:lpstr>Default6</vt:lpstr>
      <vt:lpstr>Default60</vt:lpstr>
      <vt:lpstr>Default61</vt:lpstr>
      <vt:lpstr>Default62</vt:lpstr>
      <vt:lpstr>Default63</vt:lpstr>
      <vt:lpstr>Default64</vt:lpstr>
      <vt:lpstr>Default65</vt:lpstr>
      <vt:lpstr>Default66</vt:lpstr>
      <vt:lpstr>Default67</vt:lpstr>
      <vt:lpstr>Default68</vt:lpstr>
      <vt:lpstr>Default69</vt:lpstr>
      <vt:lpstr>Default7</vt:lpstr>
      <vt:lpstr>Default70</vt:lpstr>
      <vt:lpstr>Default71</vt:lpstr>
      <vt:lpstr>Default72</vt:lpstr>
      <vt:lpstr>Default73</vt:lpstr>
      <vt:lpstr>Default74</vt:lpstr>
      <vt:lpstr>Default75</vt:lpstr>
      <vt:lpstr>Default76</vt:lpstr>
      <vt:lpstr>Default77</vt:lpstr>
      <vt:lpstr>Default78</vt:lpstr>
      <vt:lpstr>Default79</vt:lpstr>
      <vt:lpstr>Default8</vt:lpstr>
      <vt:lpstr>Default80</vt:lpstr>
      <vt:lpstr>Default81</vt:lpstr>
      <vt:lpstr>Default82</vt:lpstr>
      <vt:lpstr>Default83</vt:lpstr>
      <vt:lpstr>Default84</vt:lpstr>
      <vt:lpstr>Default85</vt:lpstr>
      <vt:lpstr>Default86</vt:lpstr>
      <vt:lpstr>Default87</vt:lpstr>
      <vt:lpstr>Default88</vt:lpstr>
      <vt:lpstr>Default89</vt:lpstr>
      <vt:lpstr>Default9</vt:lpstr>
      <vt:lpstr>Default90</vt:lpstr>
      <vt:lpstr>Default91</vt:lpstr>
      <vt:lpstr>Default92</vt:lpstr>
      <vt:lpstr>Default93</vt:lpstr>
      <vt:lpstr>Default94</vt:lpstr>
      <vt:lpstr>Default95</vt:lpstr>
      <vt:lpstr>Default96</vt:lpstr>
      <vt:lpstr>Default97</vt:lpstr>
      <vt:lpstr>Default98</vt:lpstr>
      <vt:lpstr>Default99</vt:lpstr>
      <vt:lpstr>Economy</vt:lpstr>
      <vt:lpstr>Economy1</vt:lpstr>
      <vt:lpstr>Economy2</vt:lpstr>
      <vt:lpstr>Economy3</vt:lpstr>
      <vt:lpstr>Economy4</vt:lpstr>
      <vt:lpstr>Economy5</vt:lpstr>
      <vt:lpstr>Economy6</vt:lpstr>
      <vt:lpstr>Economy7</vt:lpstr>
      <vt:lpstr>Economy8</vt:lpstr>
      <vt:lpstr>Luxury</vt:lpstr>
      <vt:lpstr>Luxury1</vt:lpstr>
      <vt:lpstr>Luxury10</vt:lpstr>
      <vt:lpstr>Luxury2</vt:lpstr>
      <vt:lpstr>Luxury3</vt:lpstr>
      <vt:lpstr>Luxury4</vt:lpstr>
      <vt:lpstr>Luxury5</vt:lpstr>
      <vt:lpstr>Luxury6</vt:lpstr>
      <vt:lpstr>Luxury7</vt:lpstr>
      <vt:lpstr>Luxury8</vt:lpstr>
      <vt:lpstr>Luxury9</vt:lpstr>
      <vt:lpstr>'BASE BID'!Print_Area</vt:lpstr>
      <vt:lpstr>'BID ALT.'!Print_Area</vt:lpstr>
      <vt:lpstr>'COST SUMMARY'!Print_Area</vt:lpstr>
      <vt:lpstr>'BASE BID'!Print_Titles</vt:lpstr>
      <vt:lpstr>'BID ALT.'!Print_Titles</vt:lpstr>
      <vt:lpstr>Residential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2013-07-08T09:36:48Z</dcterms:created>
  <dcterms:modified xsi:type="dcterms:W3CDTF">2025-09-30T13:26:04Z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{27BD937A-5713-4394-8543-A1CA7893D614}</vt:lpwstr>
  </property>
</Properties>
</file>