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filterPrivacy="1" codeName="ThisWorkbook" hidePivotFieldList="1"/>
  <xr:revisionPtr revIDLastSave="0" documentId="13_ncr:1_{0106491F-E9AC-410E-BF80-A5A2ED6B5086}" xr6:coauthVersionLast="47" xr6:coauthVersionMax="47" xr10:uidLastSave="{00000000-0000-0000-0000-000000000000}"/>
  <bookViews>
    <workbookView xWindow="-108" yWindow="-108" windowWidth="23256" windowHeight="12456" tabRatio="873" xr2:uid="{00000000-000D-0000-FFFF-FFFF00000000}"/>
  </bookViews>
  <sheets>
    <sheet name="BASE BID" sheetId="26" r:id="rId1"/>
    <sheet name="Dashboard" sheetId="30" r:id="rId2"/>
    <sheet name="Data for Dashboard" sheetId="31" state="hidden" r:id="rId3"/>
    <sheet name="COST SUMMARY" sheetId="12" r:id="rId4"/>
    <sheet name="HOURLY RATES" sheetId="22" r:id="rId5"/>
    <sheet name="Data for Rough Cost" sheetId="32" state="hidden" r:id="rId6"/>
  </sheets>
  <definedNames>
    <definedName name="_xlnm._FilterDatabase" localSheetId="0" hidden="1">'BASE BID'!$J$1:$J$389</definedName>
    <definedName name="_xlnm._FilterDatabase" localSheetId="3" hidden="1">'COST SUMMARY'!#REF!</definedName>
    <definedName name="_xlnm._FilterDatabase" localSheetId="4" hidden="1">'HOURLY RATES'!$B$8:$D$104</definedName>
    <definedName name="Average">'Data for Rough Cost'!$D$111:$D$122</definedName>
    <definedName name="Average1">'Data for Rough Cost'!$DK$2:$DK$5</definedName>
    <definedName name="Average10">'Data for Rough Cost'!$DT$2:$DT$5</definedName>
    <definedName name="Average11">'Data for Rough Cost'!$DU$2:$DU$3</definedName>
    <definedName name="Average12">'Data for Rough Cost'!$DV$2:$DV$3</definedName>
    <definedName name="Average2">'Data for Rough Cost'!$DL$2:$DL$5</definedName>
    <definedName name="Average3">'Data for Rough Cost'!$DM$2:$DM$5</definedName>
    <definedName name="Average4">'Data for Rough Cost'!$DN$2:$DN$5</definedName>
    <definedName name="Average5">'Data for Rough Cost'!$DO$2:$DO$5</definedName>
    <definedName name="Average6">'Data for Rough Cost'!$DP$2:$DP$5</definedName>
    <definedName name="Average7">'Data for Rough Cost'!$DQ$2:$DQ$5</definedName>
    <definedName name="Average8">'Data for Rough Cost'!$DR$2:$DR$5</definedName>
    <definedName name="Average9">'Data for Rough Cost'!$DS$2:$DS$5</definedName>
    <definedName name="Categories">'Data for Rough Cost'!$A$2:$A$3</definedName>
    <definedName name="Commercial">'Data for Rough Cost'!$B$2</definedName>
    <definedName name="Custom">'Data for Rough Cost'!$D$123:$D$132</definedName>
    <definedName name="Custom1">'Data for Rough Cost'!$DW$2:$DW$5</definedName>
    <definedName name="Custom10">'Data for Rough Cost'!$EF$2:$EF$5</definedName>
    <definedName name="Custom2">'Data for Rough Cost'!$DX$2:$DX$5</definedName>
    <definedName name="Custom3">'Data for Rough Cost'!$DY$2:$DY$5</definedName>
    <definedName name="Custom4">'Data for Rough Cost'!$DZ$2:$DZ$5</definedName>
    <definedName name="Custom5">'Data for Rough Cost'!$EA$2:$EA$5</definedName>
    <definedName name="Custom6">'Data for Rough Cost'!$EB$2:$EB$5</definedName>
    <definedName name="Custom7">'Data for Rough Cost'!$EC$2:$EC$5</definedName>
    <definedName name="Custom8">'Data for Rough Cost'!$ED$2:$ED$5</definedName>
    <definedName name="Custom9">'Data for Rough Cost'!$EE$2:$EE$5</definedName>
    <definedName name="Default">'Data for Rough Cost'!$D$2:$D$102</definedName>
    <definedName name="Default1">'Data for Rough Cost'!$F$2:$F$7</definedName>
    <definedName name="Default10">'Data for Rough Cost'!$O$2:$O$7</definedName>
    <definedName name="Default100">'Data for Rough Cost'!$DA$2:$DA$7</definedName>
    <definedName name="Default101">'Data for Rough Cost'!$DB$2:$DB$7</definedName>
    <definedName name="Default11">'Data for Rough Cost'!$P$2:$P$7</definedName>
    <definedName name="Default12">'Data for Rough Cost'!$Q$2:$Q$7</definedName>
    <definedName name="Default13">'Data for Rough Cost'!$R$2:$R$7</definedName>
    <definedName name="Default14">'Data for Rough Cost'!$S$2:$S$7</definedName>
    <definedName name="Default15">'Data for Rough Cost'!$T$2:$T$7</definedName>
    <definedName name="Default16">'Data for Rough Cost'!$U$2:$U$7</definedName>
    <definedName name="Default17">'Data for Rough Cost'!$V$2:$V$7</definedName>
    <definedName name="Default18">'Data for Rough Cost'!$W$2:$W$7</definedName>
    <definedName name="Default19">'Data for Rough Cost'!$X$2:$X$7</definedName>
    <definedName name="Default2">'Data for Rough Cost'!$G$2:$G$7</definedName>
    <definedName name="Default20">'Data for Rough Cost'!$Y$2:$Y$7</definedName>
    <definedName name="Default21">'Data for Rough Cost'!$Z$2:$Z$7</definedName>
    <definedName name="Default22">'Data for Rough Cost'!$AA$2:$AA$7</definedName>
    <definedName name="Default23">'Data for Rough Cost'!$AB$2:$AB$7</definedName>
    <definedName name="Default24">'Data for Rough Cost'!$AC$2:$AC$7</definedName>
    <definedName name="Default25">'Data for Rough Cost'!$AD$2:$AD$7</definedName>
    <definedName name="Default26">'Data for Rough Cost'!$AE$2:$AE$7</definedName>
    <definedName name="Default27">'Data for Rough Cost'!$AF$2:$AF$7</definedName>
    <definedName name="Default28">'Data for Rough Cost'!$AG$2:$AG$7</definedName>
    <definedName name="Default29">'Data for Rough Cost'!$AH$2:$AH$7</definedName>
    <definedName name="Default3">'Data for Rough Cost'!$H$2:$H$7</definedName>
    <definedName name="Default30">'Data for Rough Cost'!$AI$2:$AI$7</definedName>
    <definedName name="Default31">'Data for Rough Cost'!$AJ$2:$AJ$7</definedName>
    <definedName name="Default32">'Data for Rough Cost'!$AK$2:$AK$7</definedName>
    <definedName name="Default33">'Data for Rough Cost'!$AL$2:$AL$7</definedName>
    <definedName name="Default34">'Data for Rough Cost'!$AM$2:$AM$7</definedName>
    <definedName name="Default35">'Data for Rough Cost'!$AN$2:$AN$7</definedName>
    <definedName name="Default36">'Data for Rough Cost'!$AO$2:$AO$7</definedName>
    <definedName name="Default37">'Data for Rough Cost'!$AP$2:$AP$7</definedName>
    <definedName name="Default38">'Data for Rough Cost'!$AQ$2:$AQ$7</definedName>
    <definedName name="Default39">'Data for Rough Cost'!$AR$2:$AR$7</definedName>
    <definedName name="Default4">'Data for Rough Cost'!$I$2:$I$7</definedName>
    <definedName name="Default40">'Data for Rough Cost'!$AS$2:$AS$7</definedName>
    <definedName name="Default41">'Data for Rough Cost'!$AT$2:$AT$7</definedName>
    <definedName name="Default42">'Data for Rough Cost'!$AU$2:$AU$7</definedName>
    <definedName name="Default43">'Data for Rough Cost'!$AV$2:$AV$7</definedName>
    <definedName name="Default44">'Data for Rough Cost'!$AW$2:$AW$7</definedName>
    <definedName name="Default45">'Data for Rough Cost'!$AX$2:$AX$7</definedName>
    <definedName name="Default46">'Data for Rough Cost'!$AY$2:$AY$7</definedName>
    <definedName name="Default47">'Data for Rough Cost'!$AZ$2:$AZ$7</definedName>
    <definedName name="Default48">'Data for Rough Cost'!$BA$2:$BA$7</definedName>
    <definedName name="Default49">'Data for Rough Cost'!$BB$2:$BB$7</definedName>
    <definedName name="Default5">'Data for Rough Cost'!$J$2:$J$7</definedName>
    <definedName name="Default50">'Data for Rough Cost'!$BC$2:$BC$7</definedName>
    <definedName name="Default51">'Data for Rough Cost'!$BD$2:$BD$7</definedName>
    <definedName name="Default52">'Data for Rough Cost'!$BE$2:$BE$7</definedName>
    <definedName name="Default53">'Data for Rough Cost'!$BF$2:$BF$7</definedName>
    <definedName name="Default54">'Data for Rough Cost'!$BG$2:$BG$7</definedName>
    <definedName name="Default55">'Data for Rough Cost'!$BH$2:$BH$7</definedName>
    <definedName name="Default56">'Data for Rough Cost'!$BI$2:$BI$7</definedName>
    <definedName name="Default57">'Data for Rough Cost'!$BJ$2:$BJ$7</definedName>
    <definedName name="Default58">'Data for Rough Cost'!$BK$2:$BK$7</definedName>
    <definedName name="Default59">'Data for Rough Cost'!$BL$2:$BL$7</definedName>
    <definedName name="Default6">'Data for Rough Cost'!$K$2:$K$7</definedName>
    <definedName name="Default60">'Data for Rough Cost'!$BM$2:$BM$7</definedName>
    <definedName name="Default61">'Data for Rough Cost'!$BN$2:$BN$7</definedName>
    <definedName name="Default62">'Data for Rough Cost'!$BO$2:$BO$7</definedName>
    <definedName name="Default63">'Data for Rough Cost'!$BP$2:$BP$7</definedName>
    <definedName name="Default64">'Data for Rough Cost'!$BQ$2:$BQ$7</definedName>
    <definedName name="Default65">'Data for Rough Cost'!$BR$2:$BR$7</definedName>
    <definedName name="Default66">'Data for Rough Cost'!$BS$2:$BS$7</definedName>
    <definedName name="Default67">'Data for Rough Cost'!$BT$2:$BT$7</definedName>
    <definedName name="Default68">'Data for Rough Cost'!$BU$2:$BU$7</definedName>
    <definedName name="Default69">'Data for Rough Cost'!$BV$2:$BV$7</definedName>
    <definedName name="Default7">'Data for Rough Cost'!$L$2:$L$7</definedName>
    <definedName name="Default70">'Data for Rough Cost'!$BW$2:$BW$7</definedName>
    <definedName name="Default71">'Data for Rough Cost'!$BX$2:$BX$7</definedName>
    <definedName name="Default72">'Data for Rough Cost'!$BY$2:$BY$7</definedName>
    <definedName name="Default73">'Data for Rough Cost'!$BZ$2:$BZ$5</definedName>
    <definedName name="Default74">'Data for Rough Cost'!$CA$2:$CA$7</definedName>
    <definedName name="Default75">'Data for Rough Cost'!$CB$2:$CB$7</definedName>
    <definedName name="Default76">'Data for Rough Cost'!$CC$2:$CC$7</definedName>
    <definedName name="Default77">'Data for Rough Cost'!$CD$2</definedName>
    <definedName name="Default78">'Data for Rough Cost'!$CE$2</definedName>
    <definedName name="Default79">'Data for Rough Cost'!$CF$2:$CF$5</definedName>
    <definedName name="Default8">'Data for Rough Cost'!$M$2:$M$7</definedName>
    <definedName name="Default80">'Data for Rough Cost'!$CG$2:$CG$7</definedName>
    <definedName name="Default81">'Data for Rough Cost'!$CH$2:$CH$7</definedName>
    <definedName name="Default82">'Data for Rough Cost'!$CI$2:$CI$7</definedName>
    <definedName name="Default83">'Data for Rough Cost'!$CJ$2:$CJ$7</definedName>
    <definedName name="Default84">'Data for Rough Cost'!$CK$2:$CK$7</definedName>
    <definedName name="Default85">'Data for Rough Cost'!$CL$2:$CL$7</definedName>
    <definedName name="Default86">'Data for Rough Cost'!$CM$2:$CM$7</definedName>
    <definedName name="Default87">'Data for Rough Cost'!$CN$2:$CN$7</definedName>
    <definedName name="Default88">'Data for Rough Cost'!$CO$2:$CO$7</definedName>
    <definedName name="Default89">'Data for Rough Cost'!$CP$2:$CP$7</definedName>
    <definedName name="Default9">'Data for Rough Cost'!$N$2:$N$7</definedName>
    <definedName name="Default90">'Data for Rough Cost'!$CQ$2:$CQ$7</definedName>
    <definedName name="Default91">'Data for Rough Cost'!$CR$2:$CR$7</definedName>
    <definedName name="Default92">'Data for Rough Cost'!$CS$2:$CS$7</definedName>
    <definedName name="Default93">'Data for Rough Cost'!$CT$2:$CT$7</definedName>
    <definedName name="Default94">'Data for Rough Cost'!$CU$2:$CU$7</definedName>
    <definedName name="Default95">'Data for Rough Cost'!$CV$2:$CV$7</definedName>
    <definedName name="Default96">'Data for Rough Cost'!$CW$2:$CW$7</definedName>
    <definedName name="Default97">'Data for Rough Cost'!$CX$2:$CX$7</definedName>
    <definedName name="Default98">'Data for Rough Cost'!$CY$2:$CY$7</definedName>
    <definedName name="Default99">'Data for Rough Cost'!$CZ$2:$CZ$7</definedName>
    <definedName name="Economy">'Data for Rough Cost'!$D$103:$D$110</definedName>
    <definedName name="Economy1">'Data for Rough Cost'!$DC$2:$DC$5</definedName>
    <definedName name="Economy2">'Data for Rough Cost'!$DD$2:$DD$5</definedName>
    <definedName name="Economy3">'Data for Rough Cost'!$DE$2:$DE$5</definedName>
    <definedName name="Economy4">'Data for Rough Cost'!$DF$2:$DF$5</definedName>
    <definedName name="Economy5">'Data for Rough Cost'!$DG$2:$DG$5</definedName>
    <definedName name="Economy6">'Data for Rough Cost'!$DH$2:$DH$5</definedName>
    <definedName name="Economy7">'Data for Rough Cost'!$DI$2:$DI$5</definedName>
    <definedName name="Economy8">'Data for Rough Cost'!$DJ$2:$DJ$5</definedName>
    <definedName name="Luxury">'Data for Rough Cost'!$D$133:$D$142</definedName>
    <definedName name="Luxury1">'Data for Rough Cost'!$EG$2:$EG$5</definedName>
    <definedName name="Luxury10">'Data for Rough Cost'!$EP$2:$EP$5</definedName>
    <definedName name="Luxury2">'Data for Rough Cost'!$EH$2:$EH$5</definedName>
    <definedName name="Luxury3">'Data for Rough Cost'!$EI$2:$EI$5</definedName>
    <definedName name="Luxury4">'Data for Rough Cost'!$EJ$2:$EJ$5</definedName>
    <definedName name="Luxury5">'Data for Rough Cost'!$EK$2:$EK$5</definedName>
    <definedName name="Luxury6">'Data for Rough Cost'!$EL$2:$EL$5</definedName>
    <definedName name="Luxury7">'Data for Rough Cost'!$EM$2:$EM$5</definedName>
    <definedName name="Luxury8">'Data for Rough Cost'!$EN$2:$EN$5</definedName>
    <definedName name="Luxury9">'Data for Rough Cost'!$EO$2:$EO$5</definedName>
    <definedName name="_xlnm.Print_Area" localSheetId="0">'BASE BID'!$A$1:$R$353</definedName>
    <definedName name="_xlnm.Print_Area" localSheetId="3">'COST SUMMARY'!$A$1:$R$52</definedName>
    <definedName name="_xlnm.Print_Titles" localSheetId="0">'BASE BID'!$17:$17</definedName>
    <definedName name="Residential">'Data for Rough Cost'!$C$2:$C$5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2" l="1"/>
  <c r="L21" i="12" s="1"/>
  <c r="J39" i="12"/>
  <c r="L39" i="12" s="1"/>
  <c r="R70" i="26"/>
  <c r="R309" i="26"/>
  <c r="R326" i="26"/>
  <c r="A58" i="26"/>
  <c r="A59" i="26" s="1"/>
  <c r="A61" i="26"/>
  <c r="A62" i="26"/>
  <c r="A66" i="26"/>
  <c r="A67" i="26"/>
  <c r="A69" i="26"/>
  <c r="A70" i="26"/>
  <c r="A71" i="26"/>
  <c r="A72" i="26"/>
  <c r="A76" i="26"/>
  <c r="A77" i="26"/>
  <c r="A78" i="26"/>
  <c r="A79" i="26"/>
  <c r="A84" i="26"/>
  <c r="A85" i="26"/>
  <c r="A96" i="26"/>
  <c r="A97" i="26"/>
  <c r="A98" i="26"/>
  <c r="A101" i="26"/>
  <c r="A102" i="26"/>
  <c r="A104" i="26"/>
  <c r="A105" i="26"/>
  <c r="A110" i="26"/>
  <c r="A111" i="26"/>
  <c r="A116" i="26"/>
  <c r="A117" i="26"/>
  <c r="A121" i="26"/>
  <c r="A122" i="26"/>
  <c r="A125" i="26"/>
  <c r="A126" i="26"/>
  <c r="A131" i="26"/>
  <c r="A132" i="26"/>
  <c r="A178" i="26"/>
  <c r="A179" i="26"/>
  <c r="A181" i="26"/>
  <c r="A182" i="26"/>
  <c r="A185" i="26"/>
  <c r="A186" i="26"/>
  <c r="A204" i="26"/>
  <c r="A205" i="26"/>
  <c r="A210" i="26"/>
  <c r="A211" i="26"/>
  <c r="A223" i="26"/>
  <c r="A224" i="26"/>
  <c r="A227" i="26"/>
  <c r="A228" i="26"/>
  <c r="A234" i="26"/>
  <c r="A235" i="26"/>
  <c r="A237" i="26"/>
  <c r="A240" i="26"/>
  <c r="A247" i="26"/>
  <c r="A248" i="26"/>
  <c r="A253" i="26"/>
  <c r="A260" i="26"/>
  <c r="A267" i="26"/>
  <c r="A274" i="26"/>
  <c r="A275" i="26"/>
  <c r="A284" i="26"/>
  <c r="A295" i="26"/>
  <c r="A296" i="26"/>
  <c r="A300" i="26"/>
  <c r="A304" i="26"/>
  <c r="A305" i="26"/>
  <c r="A308" i="26"/>
  <c r="A309" i="26"/>
  <c r="A310" i="26"/>
  <c r="A311" i="26"/>
  <c r="A316" i="26"/>
  <c r="A317" i="26"/>
  <c r="A319" i="26"/>
  <c r="A320" i="26"/>
  <c r="A325" i="26"/>
  <c r="A326" i="26"/>
  <c r="A327" i="26"/>
  <c r="A328" i="26"/>
  <c r="A330" i="26"/>
  <c r="A331" i="26"/>
  <c r="A335" i="26"/>
  <c r="A336" i="26"/>
  <c r="A339" i="26"/>
  <c r="A340" i="26"/>
  <c r="A341" i="26"/>
  <c r="A342" i="26"/>
  <c r="A344" i="26"/>
  <c r="A345" i="26"/>
  <c r="A34" i="26"/>
  <c r="A38" i="26"/>
  <c r="A39" i="26"/>
  <c r="A48" i="26"/>
  <c r="A49" i="26"/>
  <c r="D21" i="12"/>
  <c r="E21" i="12"/>
  <c r="F21" i="12"/>
  <c r="D22" i="12"/>
  <c r="I47" i="26"/>
  <c r="P47" i="26" s="1"/>
  <c r="I46" i="26"/>
  <c r="P46" i="26" s="1"/>
  <c r="I37" i="26"/>
  <c r="L37" i="26" s="1"/>
  <c r="M324" i="26"/>
  <c r="M321" i="26"/>
  <c r="M322" i="26"/>
  <c r="M307" i="26"/>
  <c r="M306" i="26"/>
  <c r="M303" i="26"/>
  <c r="M302" i="26"/>
  <c r="M301" i="26"/>
  <c r="M286" i="26"/>
  <c r="M285" i="26"/>
  <c r="O252" i="26"/>
  <c r="K252" i="26"/>
  <c r="M252" i="26"/>
  <c r="O251" i="26"/>
  <c r="K251" i="26"/>
  <c r="K250" i="26"/>
  <c r="O250" i="26"/>
  <c r="O249" i="26"/>
  <c r="K249" i="26"/>
  <c r="O236" i="26"/>
  <c r="K236" i="26"/>
  <c r="A60" i="26" l="1"/>
  <c r="A36" i="26"/>
  <c r="A37" i="26" s="1"/>
  <c r="A35" i="26"/>
  <c r="N37" i="26"/>
  <c r="P37" i="26"/>
  <c r="M212" i="26"/>
  <c r="M213" i="26"/>
  <c r="M214" i="26"/>
  <c r="M215" i="26"/>
  <c r="M216" i="26"/>
  <c r="M217" i="26"/>
  <c r="M218" i="26"/>
  <c r="O222" i="26"/>
  <c r="K222" i="26"/>
  <c r="A63" i="26" l="1"/>
  <c r="A42" i="26"/>
  <c r="A40" i="26"/>
  <c r="A43" i="26" s="1"/>
  <c r="A44" i="26" s="1"/>
  <c r="A41" i="26"/>
  <c r="Q37" i="26"/>
  <c r="S37" i="26"/>
  <c r="T37" i="26" s="1"/>
  <c r="A64" i="26" l="1"/>
  <c r="A45" i="26"/>
  <c r="A47" i="26" s="1"/>
  <c r="A46" i="26"/>
  <c r="A32" i="26"/>
  <c r="A33" i="26"/>
  <c r="A55" i="26"/>
  <c r="A56" i="26"/>
  <c r="A21" i="26"/>
  <c r="M91" i="26"/>
  <c r="M92" i="26"/>
  <c r="M93" i="26"/>
  <c r="M94" i="26"/>
  <c r="M318" i="26"/>
  <c r="M226" i="26"/>
  <c r="M225" i="26"/>
  <c r="M119" i="26"/>
  <c r="M169" i="26"/>
  <c r="M170" i="26"/>
  <c r="M171" i="26"/>
  <c r="M172" i="26"/>
  <c r="M173" i="26"/>
  <c r="M174" i="26"/>
  <c r="M175" i="26"/>
  <c r="M176" i="26"/>
  <c r="M168" i="26"/>
  <c r="M189" i="26"/>
  <c r="M230" i="26"/>
  <c r="M114" i="26"/>
  <c r="M229" i="26"/>
  <c r="M332" i="26"/>
  <c r="M333" i="26"/>
  <c r="M334" i="26"/>
  <c r="M312" i="26"/>
  <c r="M313" i="26"/>
  <c r="M314" i="26"/>
  <c r="M315" i="26"/>
  <c r="M221" i="26"/>
  <c r="M220" i="26"/>
  <c r="M222" i="26"/>
  <c r="M88" i="26"/>
  <c r="M87" i="26"/>
  <c r="M207" i="26"/>
  <c r="M193" i="26"/>
  <c r="M199" i="26"/>
  <c r="M197" i="26"/>
  <c r="M196" i="26"/>
  <c r="M191" i="26"/>
  <c r="M188" i="26"/>
  <c r="M129" i="26"/>
  <c r="M128" i="26"/>
  <c r="M124" i="26"/>
  <c r="M123" i="26"/>
  <c r="M113" i="26"/>
  <c r="M164" i="26"/>
  <c r="M163" i="26"/>
  <c r="M162" i="26"/>
  <c r="M161" i="26"/>
  <c r="M160" i="26"/>
  <c r="M159" i="26"/>
  <c r="M158" i="26"/>
  <c r="M157" i="26"/>
  <c r="M156" i="26"/>
  <c r="M155" i="26"/>
  <c r="M154" i="26"/>
  <c r="M153" i="26"/>
  <c r="M152" i="26"/>
  <c r="M151" i="26"/>
  <c r="M150" i="26"/>
  <c r="M177" i="26"/>
  <c r="M167" i="26"/>
  <c r="M166" i="26"/>
  <c r="M165" i="26"/>
  <c r="M149" i="26"/>
  <c r="M148" i="26"/>
  <c r="M147" i="26"/>
  <c r="M146" i="26"/>
  <c r="M145" i="26"/>
  <c r="M144" i="26"/>
  <c r="M143" i="26"/>
  <c r="M135" i="26"/>
  <c r="M134" i="26"/>
  <c r="M133" i="26"/>
  <c r="M138" i="26"/>
  <c r="M137" i="26"/>
  <c r="M136" i="26"/>
  <c r="M141" i="26"/>
  <c r="M140" i="26"/>
  <c r="M139" i="26"/>
  <c r="M142" i="26"/>
  <c r="M95" i="26"/>
  <c r="M90" i="26"/>
  <c r="M89" i="26"/>
  <c r="M86" i="26"/>
  <c r="M337" i="26"/>
  <c r="M289" i="26"/>
  <c r="M294" i="26"/>
  <c r="M293" i="26"/>
  <c r="M287" i="26"/>
  <c r="M292" i="26"/>
  <c r="M288" i="26"/>
  <c r="M291" i="26"/>
  <c r="M290" i="26"/>
  <c r="M283" i="26"/>
  <c r="M282" i="26"/>
  <c r="M281" i="26"/>
  <c r="M280" i="26"/>
  <c r="M279" i="26"/>
  <c r="M278" i="26"/>
  <c r="M277" i="26"/>
  <c r="M276" i="26"/>
  <c r="M299" i="26"/>
  <c r="M298" i="26"/>
  <c r="M297" i="26"/>
  <c r="G266" i="26"/>
  <c r="I266" i="26" s="1"/>
  <c r="G265" i="26"/>
  <c r="I265" i="26" s="1"/>
  <c r="G264" i="26"/>
  <c r="I264" i="26" s="1"/>
  <c r="G263" i="26"/>
  <c r="I263" i="26" s="1"/>
  <c r="G262" i="26"/>
  <c r="I262" i="26" s="1"/>
  <c r="M261" i="26"/>
  <c r="I261" i="26"/>
  <c r="P261" i="26" s="1"/>
  <c r="M257" i="26"/>
  <c r="M254" i="26"/>
  <c r="M258" i="26"/>
  <c r="M255" i="26"/>
  <c r="M250" i="26"/>
  <c r="M249" i="26"/>
  <c r="I74" i="26"/>
  <c r="A65" i="26" l="1"/>
  <c r="A50" i="26"/>
  <c r="A51" i="26" s="1"/>
  <c r="A22" i="26"/>
  <c r="L261" i="26"/>
  <c r="N261" i="26" s="1"/>
  <c r="L74" i="26"/>
  <c r="N74" i="26" s="1"/>
  <c r="P74" i="26"/>
  <c r="M115" i="26"/>
  <c r="I75" i="26"/>
  <c r="I73" i="26"/>
  <c r="A68" i="26" l="1"/>
  <c r="A23" i="26"/>
  <c r="S261" i="26"/>
  <c r="T261" i="26" s="1"/>
  <c r="Q261" i="26"/>
  <c r="Q74" i="26"/>
  <c r="S74" i="26"/>
  <c r="T74" i="26" s="1"/>
  <c r="P73" i="26"/>
  <c r="L73" i="26"/>
  <c r="N73" i="26" s="1"/>
  <c r="P75" i="26"/>
  <c r="L75" i="26"/>
  <c r="N75" i="26" s="1"/>
  <c r="A73" i="26" l="1"/>
  <c r="A24" i="26"/>
  <c r="S75" i="26"/>
  <c r="T75" i="26" s="1"/>
  <c r="Q73" i="26"/>
  <c r="Q75" i="26"/>
  <c r="S73" i="26"/>
  <c r="T73" i="26" s="1"/>
  <c r="A74" i="26" l="1"/>
  <c r="A25" i="26"/>
  <c r="M329" i="26"/>
  <c r="M209" i="26"/>
  <c r="M208" i="26"/>
  <c r="M206" i="26"/>
  <c r="M194" i="26"/>
  <c r="P49" i="26"/>
  <c r="A75" i="26" l="1"/>
  <c r="A26" i="26"/>
  <c r="A80" i="26" l="1"/>
  <c r="A81" i="26" s="1"/>
  <c r="A82" i="26" s="1"/>
  <c r="A83" i="26" s="1"/>
  <c r="A86" i="26" s="1"/>
  <c r="A87" i="26" s="1"/>
  <c r="A88" i="26" s="1"/>
  <c r="A89" i="26" s="1"/>
  <c r="A90" i="26" s="1"/>
  <c r="A91" i="26" s="1"/>
  <c r="A92" i="26" s="1"/>
  <c r="A93" i="26" s="1"/>
  <c r="A94" i="26" s="1"/>
  <c r="A95" i="26" s="1"/>
  <c r="A99" i="26" s="1"/>
  <c r="A100" i="26" s="1"/>
  <c r="A103" i="26" s="1"/>
  <c r="A106" i="26" s="1"/>
  <c r="A107" i="26" s="1"/>
  <c r="A108" i="26" s="1"/>
  <c r="A109" i="26" s="1"/>
  <c r="A112" i="26" s="1"/>
  <c r="A113" i="26" s="1"/>
  <c r="A114" i="26" s="1"/>
  <c r="A115" i="26" s="1"/>
  <c r="A118" i="26" s="1"/>
  <c r="A119" i="26" s="1"/>
  <c r="A120" i="26" s="1"/>
  <c r="A123" i="26" s="1"/>
  <c r="A124" i="26" s="1"/>
  <c r="A127" i="26" s="1"/>
  <c r="A128" i="26" s="1"/>
  <c r="A129" i="26" s="1"/>
  <c r="A130" i="26" s="1"/>
  <c r="A133" i="26" s="1"/>
  <c r="A134" i="26" s="1"/>
  <c r="A135" i="26" s="1"/>
  <c r="A136" i="26" s="1"/>
  <c r="A137" i="26" s="1"/>
  <c r="A138" i="26" s="1"/>
  <c r="A139" i="26" s="1"/>
  <c r="A140" i="26" s="1"/>
  <c r="A141" i="26" s="1"/>
  <c r="A142" i="26" s="1"/>
  <c r="A143" i="26" s="1"/>
  <c r="A144" i="26" s="1"/>
  <c r="A145" i="26" s="1"/>
  <c r="A146" i="26" s="1"/>
  <c r="A147" i="26" s="1"/>
  <c r="A148" i="26" s="1"/>
  <c r="A149" i="26" s="1"/>
  <c r="A150" i="26" s="1"/>
  <c r="A151" i="26" s="1"/>
  <c r="A152" i="26" s="1"/>
  <c r="A153" i="26" s="1"/>
  <c r="A154" i="26" s="1"/>
  <c r="A155" i="26" s="1"/>
  <c r="A156" i="26" s="1"/>
  <c r="A157" i="26" s="1"/>
  <c r="A158" i="26" s="1"/>
  <c r="A159" i="26" s="1"/>
  <c r="A160" i="26" s="1"/>
  <c r="A161" i="26" s="1"/>
  <c r="A162" i="26" s="1"/>
  <c r="A163" i="26" s="1"/>
  <c r="A164" i="26" s="1"/>
  <c r="A165" i="26" s="1"/>
  <c r="A166" i="26" s="1"/>
  <c r="A167" i="26" s="1"/>
  <c r="A168" i="26" s="1"/>
  <c r="A169" i="26" s="1"/>
  <c r="A170" i="26" s="1"/>
  <c r="A171" i="26" s="1"/>
  <c r="A172" i="26" s="1"/>
  <c r="A173" i="26" s="1"/>
  <c r="A174" i="26" s="1"/>
  <c r="A175" i="26" s="1"/>
  <c r="A176" i="26" s="1"/>
  <c r="A177" i="26" s="1"/>
  <c r="A180" i="26" s="1"/>
  <c r="A183" i="26" s="1"/>
  <c r="A184" i="26" s="1"/>
  <c r="A187" i="26" s="1"/>
  <c r="A188" i="26" s="1"/>
  <c r="A189" i="26" s="1"/>
  <c r="A190" i="26" s="1"/>
  <c r="A191" i="26" s="1"/>
  <c r="A192" i="26" s="1"/>
  <c r="A193" i="26" s="1"/>
  <c r="A194" i="26" s="1"/>
  <c r="A195" i="26" s="1"/>
  <c r="A196" i="26" s="1"/>
  <c r="A197" i="26" s="1"/>
  <c r="A198" i="26" s="1"/>
  <c r="A199" i="26" s="1"/>
  <c r="A200" i="26" s="1"/>
  <c r="A201" i="26" s="1"/>
  <c r="A202" i="26" s="1"/>
  <c r="A203" i="26" s="1"/>
  <c r="A206" i="26" s="1"/>
  <c r="A207" i="26" s="1"/>
  <c r="A208" i="26" s="1"/>
  <c r="A209" i="26" s="1"/>
  <c r="A212" i="26" s="1"/>
  <c r="A213" i="26" s="1"/>
  <c r="A214" i="26" s="1"/>
  <c r="A215" i="26" s="1"/>
  <c r="A216" i="26" s="1"/>
  <c r="A217" i="26" s="1"/>
  <c r="A218" i="26" s="1"/>
  <c r="A219" i="26" s="1"/>
  <c r="A220" i="26" s="1"/>
  <c r="A221" i="26" s="1"/>
  <c r="A222" i="26" s="1"/>
  <c r="A225" i="26" s="1"/>
  <c r="A226" i="26" s="1"/>
  <c r="A229" i="26" s="1"/>
  <c r="A230" i="26" s="1"/>
  <c r="A231" i="26" s="1"/>
  <c r="A232" i="26" s="1"/>
  <c r="A233" i="26" s="1"/>
  <c r="A236" i="26" s="1"/>
  <c r="A238" i="26" s="1"/>
  <c r="A239" i="26" s="1"/>
  <c r="A241" i="26" s="1"/>
  <c r="A242" i="26" s="1"/>
  <c r="A243" i="26" s="1"/>
  <c r="A244" i="26" s="1"/>
  <c r="A245" i="26" s="1"/>
  <c r="A246" i="26" s="1"/>
  <c r="A249" i="26" s="1"/>
  <c r="A250" i="26" s="1"/>
  <c r="A251" i="26" s="1"/>
  <c r="A252" i="26" s="1"/>
  <c r="A254" i="26" s="1"/>
  <c r="A255" i="26" s="1"/>
  <c r="A256" i="26" s="1"/>
  <c r="A257" i="26" s="1"/>
  <c r="A258" i="26" s="1"/>
  <c r="A259" i="26" s="1"/>
  <c r="A261" i="26" s="1"/>
  <c r="A262" i="26" s="1"/>
  <c r="A263" i="26" s="1"/>
  <c r="A264" i="26" s="1"/>
  <c r="A265" i="26" s="1"/>
  <c r="A266" i="26" s="1"/>
  <c r="A268" i="26" s="1"/>
  <c r="A269" i="26" s="1"/>
  <c r="A270" i="26" s="1"/>
  <c r="A271" i="26" s="1"/>
  <c r="A272" i="26" s="1"/>
  <c r="A273" i="26" s="1"/>
  <c r="A276" i="26" s="1"/>
  <c r="A277" i="26" s="1"/>
  <c r="A278" i="26" s="1"/>
  <c r="A279" i="26" s="1"/>
  <c r="A280" i="26" s="1"/>
  <c r="A281" i="26" s="1"/>
  <c r="A282" i="26" s="1"/>
  <c r="A283" i="26" s="1"/>
  <c r="A285" i="26" s="1"/>
  <c r="A286" i="26" s="1"/>
  <c r="A287" i="26" s="1"/>
  <c r="A288" i="26" s="1"/>
  <c r="A289" i="26" s="1"/>
  <c r="A290" i="26" s="1"/>
  <c r="A291" i="26" s="1"/>
  <c r="A292" i="26" s="1"/>
  <c r="A293" i="26" s="1"/>
  <c r="A294" i="26" s="1"/>
  <c r="A297" i="26" s="1"/>
  <c r="A298" i="26" s="1"/>
  <c r="A299" i="26" s="1"/>
  <c r="A301" i="26" s="1"/>
  <c r="A302" i="26" s="1"/>
  <c r="A303" i="26" s="1"/>
  <c r="A306" i="26" s="1"/>
  <c r="A307" i="26" s="1"/>
  <c r="A312" i="26" s="1"/>
  <c r="A313" i="26" s="1"/>
  <c r="A314" i="26" s="1"/>
  <c r="A315" i="26" s="1"/>
  <c r="A318" i="26" s="1"/>
  <c r="A321" i="26" s="1"/>
  <c r="A322" i="26" s="1"/>
  <c r="A323" i="26" s="1"/>
  <c r="A324" i="26" s="1"/>
  <c r="A329" i="26" s="1"/>
  <c r="A332" i="26" s="1"/>
  <c r="A333" i="26" s="1"/>
  <c r="A334" i="26" s="1"/>
  <c r="A337" i="26" s="1"/>
  <c r="A338" i="26" s="1"/>
  <c r="A343" i="26" s="1"/>
  <c r="A346" i="26" s="1"/>
  <c r="A27" i="26"/>
  <c r="A28" i="26" l="1"/>
  <c r="A29" i="26"/>
  <c r="A30" i="26"/>
  <c r="M183" i="26"/>
  <c r="M184" i="26"/>
  <c r="M323" i="26"/>
  <c r="M180" i="26"/>
  <c r="M130" i="26"/>
  <c r="M127" i="26"/>
  <c r="M202" i="26"/>
  <c r="M192" i="26"/>
  <c r="M190" i="26"/>
  <c r="M187" i="26"/>
  <c r="M198" i="26"/>
  <c r="M195" i="26"/>
  <c r="M201" i="26"/>
  <c r="M200" i="26"/>
  <c r="M231" i="26"/>
  <c r="M232" i="26"/>
  <c r="M233" i="26"/>
  <c r="A31" i="26" l="1"/>
  <c r="M256" i="26"/>
  <c r="M109" i="26"/>
  <c r="M108" i="26"/>
  <c r="M107" i="26"/>
  <c r="M106" i="26"/>
  <c r="M338" i="26" l="1"/>
  <c r="M259" i="26"/>
  <c r="M112" i="26"/>
  <c r="M219" i="26" l="1"/>
  <c r="M203" i="26"/>
  <c r="M251" i="26"/>
  <c r="M239" i="26"/>
  <c r="M238" i="26"/>
  <c r="M103" i="26"/>
  <c r="G273" i="26"/>
  <c r="G272" i="26"/>
  <c r="G271" i="26"/>
  <c r="G270" i="26"/>
  <c r="G269" i="26"/>
  <c r="G246" i="26"/>
  <c r="G245" i="26"/>
  <c r="G244" i="26"/>
  <c r="G243" i="26"/>
  <c r="G242" i="26"/>
  <c r="A52" i="26" l="1"/>
  <c r="A53" i="26" s="1"/>
  <c r="A54" i="26" s="1"/>
  <c r="A57" i="26" s="1"/>
  <c r="A347" i="26"/>
  <c r="M120" i="26"/>
  <c r="I243" i="26" l="1"/>
  <c r="I245" i="26"/>
  <c r="I270" i="26"/>
  <c r="I272" i="26"/>
  <c r="I269" i="26"/>
  <c r="I271" i="26"/>
  <c r="I273" i="26"/>
  <c r="I242" i="26"/>
  <c r="I244" i="26"/>
  <c r="I246" i="26"/>
  <c r="M268" i="26"/>
  <c r="M241" i="26"/>
  <c r="M236" i="26"/>
  <c r="M118" i="26"/>
  <c r="M100" i="26"/>
  <c r="M99" i="26"/>
  <c r="D6" i="12" l="1"/>
  <c r="D5" i="12"/>
  <c r="D4" i="12"/>
  <c r="M346" i="26"/>
  <c r="M343" i="26"/>
  <c r="M68" i="26"/>
  <c r="M65" i="26"/>
  <c r="M64" i="26"/>
  <c r="M63" i="26"/>
  <c r="M60" i="26"/>
  <c r="M59" i="26"/>
  <c r="M58" i="26"/>
  <c r="M57" i="26"/>
  <c r="M54" i="26"/>
  <c r="M53" i="26"/>
  <c r="M52" i="26"/>
  <c r="M51" i="26"/>
  <c r="M50" i="26"/>
  <c r="M45" i="26"/>
  <c r="M44" i="26"/>
  <c r="M43" i="26"/>
  <c r="M42" i="26"/>
  <c r="M41" i="26"/>
  <c r="M40" i="26"/>
  <c r="M36" i="26"/>
  <c r="M35" i="26"/>
  <c r="M34" i="26"/>
  <c r="M31" i="26"/>
  <c r="M30" i="26"/>
  <c r="M29" i="26"/>
  <c r="M28" i="26"/>
  <c r="M27" i="26"/>
  <c r="M26" i="26"/>
  <c r="M25" i="26"/>
  <c r="M24" i="26"/>
  <c r="M23" i="26"/>
  <c r="M22" i="26"/>
  <c r="M80" i="26"/>
  <c r="M81" i="26"/>
  <c r="M82" i="26"/>
  <c r="M83" i="26"/>
  <c r="R44" i="12" l="1"/>
  <c r="K40" i="12"/>
  <c r="K41" i="12"/>
  <c r="K42" i="12"/>
  <c r="K43" i="12"/>
  <c r="K22" i="12"/>
  <c r="K23" i="12"/>
  <c r="K24" i="12"/>
  <c r="K25" i="12"/>
  <c r="F11" i="31" l="1"/>
  <c r="G30" i="12"/>
  <c r="G48" i="12" s="1"/>
  <c r="G29" i="12"/>
  <c r="G28" i="12"/>
  <c r="G46" i="12" s="1"/>
  <c r="G27" i="12"/>
  <c r="G45" i="12" s="1"/>
  <c r="G47" i="12" l="1"/>
  <c r="M26" i="12"/>
  <c r="M44" i="12" l="1"/>
  <c r="M352" i="26" l="1"/>
  <c r="M351" i="26"/>
  <c r="M350" i="26"/>
  <c r="M349" i="26"/>
  <c r="M21" i="26"/>
  <c r="R26" i="12" l="1"/>
  <c r="L4" i="12" l="1"/>
  <c r="C122" i="22" l="1"/>
  <c r="C123" i="22"/>
  <c r="C118" i="22"/>
  <c r="C119" i="22"/>
  <c r="C120" i="22"/>
  <c r="C121" i="22"/>
  <c r="C117" i="22"/>
  <c r="C116" i="22"/>
  <c r="H91" i="26" s="1"/>
  <c r="I91" i="26" s="1"/>
  <c r="P91" i="26" l="1"/>
  <c r="L91" i="26"/>
  <c r="N91" i="26" s="1"/>
  <c r="H93" i="26"/>
  <c r="I93" i="26" s="1"/>
  <c r="P93" i="26" s="1"/>
  <c r="H92" i="26"/>
  <c r="I92" i="26" s="1"/>
  <c r="L93" i="26"/>
  <c r="N93" i="26" s="1"/>
  <c r="H318" i="26"/>
  <c r="I318" i="26" s="1"/>
  <c r="P318" i="26" s="1"/>
  <c r="H94" i="26"/>
  <c r="I94" i="26" s="1"/>
  <c r="H225" i="26"/>
  <c r="I225" i="26" s="1"/>
  <c r="H226" i="26"/>
  <c r="I226" i="26" s="1"/>
  <c r="H119" i="26"/>
  <c r="I119" i="26" s="1"/>
  <c r="P119" i="26" s="1"/>
  <c r="H171" i="26"/>
  <c r="I171" i="26" s="1"/>
  <c r="P171" i="26" s="1"/>
  <c r="H170" i="26"/>
  <c r="I170" i="26" s="1"/>
  <c r="H169" i="26"/>
  <c r="I169" i="26" s="1"/>
  <c r="H173" i="26"/>
  <c r="I173" i="26" s="1"/>
  <c r="P173" i="26" s="1"/>
  <c r="H172" i="26"/>
  <c r="I172" i="26" s="1"/>
  <c r="H175" i="26"/>
  <c r="I175" i="26" s="1"/>
  <c r="P175" i="26" s="1"/>
  <c r="H174" i="26"/>
  <c r="I174" i="26" s="1"/>
  <c r="H176" i="26"/>
  <c r="I176" i="26" s="1"/>
  <c r="H189" i="26"/>
  <c r="I189" i="26" s="1"/>
  <c r="P189" i="26" s="1"/>
  <c r="H168" i="26"/>
  <c r="I168" i="26" s="1"/>
  <c r="H114" i="26"/>
  <c r="I114" i="26" s="1"/>
  <c r="L114" i="26" s="1"/>
  <c r="N114" i="26" s="1"/>
  <c r="H230" i="26"/>
  <c r="I230" i="26" s="1"/>
  <c r="H332" i="26"/>
  <c r="I332" i="26" s="1"/>
  <c r="P332" i="26" s="1"/>
  <c r="H229" i="26"/>
  <c r="I229" i="26" s="1"/>
  <c r="H333" i="26"/>
  <c r="I333" i="26" s="1"/>
  <c r="H334" i="26"/>
  <c r="I334" i="26" s="1"/>
  <c r="H312" i="26"/>
  <c r="I312" i="26" s="1"/>
  <c r="H314" i="26"/>
  <c r="I314" i="26" s="1"/>
  <c r="H315" i="26"/>
  <c r="I315" i="26" s="1"/>
  <c r="H313" i="26"/>
  <c r="I313" i="26" s="1"/>
  <c r="H87" i="26"/>
  <c r="I87" i="26" s="1"/>
  <c r="L87" i="26" s="1"/>
  <c r="N87" i="26" s="1"/>
  <c r="H222" i="26"/>
  <c r="I222" i="26" s="1"/>
  <c r="L222" i="26" s="1"/>
  <c r="N222" i="26" s="1"/>
  <c r="H221" i="26"/>
  <c r="I221" i="26" s="1"/>
  <c r="H220" i="26"/>
  <c r="I220" i="26" s="1"/>
  <c r="H88" i="26"/>
  <c r="I88" i="26" s="1"/>
  <c r="P88" i="26" s="1"/>
  <c r="H218" i="26"/>
  <c r="I218" i="26" s="1"/>
  <c r="L218" i="26" s="1"/>
  <c r="N218" i="26" s="1"/>
  <c r="H207" i="26"/>
  <c r="I207" i="26" s="1"/>
  <c r="L207" i="26" s="1"/>
  <c r="N207" i="26" s="1"/>
  <c r="H213" i="26"/>
  <c r="I213" i="26" s="1"/>
  <c r="L213" i="26" s="1"/>
  <c r="N213" i="26" s="1"/>
  <c r="H199" i="26"/>
  <c r="I199" i="26" s="1"/>
  <c r="L199" i="26" s="1"/>
  <c r="N199" i="26" s="1"/>
  <c r="H193" i="26"/>
  <c r="I193" i="26" s="1"/>
  <c r="H196" i="26"/>
  <c r="I196" i="26" s="1"/>
  <c r="P196" i="26" s="1"/>
  <c r="H197" i="26"/>
  <c r="I197" i="26" s="1"/>
  <c r="H188" i="26"/>
  <c r="I188" i="26" s="1"/>
  <c r="L188" i="26" s="1"/>
  <c r="N188" i="26" s="1"/>
  <c r="H191" i="26"/>
  <c r="I191" i="26" s="1"/>
  <c r="H128" i="26"/>
  <c r="I128" i="26" s="1"/>
  <c r="L128" i="26" s="1"/>
  <c r="N128" i="26" s="1"/>
  <c r="H129" i="26"/>
  <c r="I129" i="26" s="1"/>
  <c r="H113" i="26"/>
  <c r="I113" i="26" s="1"/>
  <c r="P113" i="26" s="1"/>
  <c r="H124" i="26"/>
  <c r="I124" i="26" s="1"/>
  <c r="H123" i="26"/>
  <c r="I123" i="26" s="1"/>
  <c r="H164" i="26"/>
  <c r="I164" i="26" s="1"/>
  <c r="H162" i="26"/>
  <c r="I162" i="26" s="1"/>
  <c r="H160" i="26"/>
  <c r="I160" i="26" s="1"/>
  <c r="H158" i="26"/>
  <c r="I158" i="26" s="1"/>
  <c r="H156" i="26"/>
  <c r="I156" i="26" s="1"/>
  <c r="H154" i="26"/>
  <c r="I154" i="26" s="1"/>
  <c r="H152" i="26"/>
  <c r="I152" i="26" s="1"/>
  <c r="H150" i="26"/>
  <c r="I150" i="26" s="1"/>
  <c r="H163" i="26"/>
  <c r="I163" i="26" s="1"/>
  <c r="H161" i="26"/>
  <c r="I161" i="26" s="1"/>
  <c r="H159" i="26"/>
  <c r="I159" i="26" s="1"/>
  <c r="H157" i="26"/>
  <c r="I157" i="26" s="1"/>
  <c r="H155" i="26"/>
  <c r="I155" i="26" s="1"/>
  <c r="H153" i="26"/>
  <c r="I153" i="26" s="1"/>
  <c r="H151" i="26"/>
  <c r="I151" i="26" s="1"/>
  <c r="H177" i="26"/>
  <c r="I177" i="26" s="1"/>
  <c r="H166" i="26"/>
  <c r="I166" i="26" s="1"/>
  <c r="H149" i="26"/>
  <c r="I149" i="26" s="1"/>
  <c r="H147" i="26"/>
  <c r="I147" i="26" s="1"/>
  <c r="H145" i="26"/>
  <c r="I145" i="26" s="1"/>
  <c r="H143" i="26"/>
  <c r="I143" i="26" s="1"/>
  <c r="H167" i="26"/>
  <c r="I167" i="26" s="1"/>
  <c r="H165" i="26"/>
  <c r="I165" i="26" s="1"/>
  <c r="H148" i="26"/>
  <c r="I148" i="26" s="1"/>
  <c r="H146" i="26"/>
  <c r="I146" i="26" s="1"/>
  <c r="H144" i="26"/>
  <c r="I144" i="26" s="1"/>
  <c r="H135" i="26"/>
  <c r="I135" i="26" s="1"/>
  <c r="H133" i="26"/>
  <c r="I133" i="26" s="1"/>
  <c r="H134" i="26"/>
  <c r="I134" i="26" s="1"/>
  <c r="H138" i="26"/>
  <c r="I138" i="26" s="1"/>
  <c r="H136" i="26"/>
  <c r="I136" i="26" s="1"/>
  <c r="H137" i="26"/>
  <c r="I137" i="26" s="1"/>
  <c r="H141" i="26"/>
  <c r="I141" i="26" s="1"/>
  <c r="H139" i="26"/>
  <c r="I139" i="26" s="1"/>
  <c r="H140" i="26"/>
  <c r="I140" i="26" s="1"/>
  <c r="H142" i="26"/>
  <c r="I142" i="26" s="1"/>
  <c r="H337" i="26"/>
  <c r="I337" i="26" s="1"/>
  <c r="L337" i="26" s="1"/>
  <c r="N337" i="26" s="1"/>
  <c r="H95" i="26"/>
  <c r="I95" i="26" s="1"/>
  <c r="H89" i="26"/>
  <c r="I89" i="26" s="1"/>
  <c r="H90" i="26"/>
  <c r="I90" i="26" s="1"/>
  <c r="H86" i="26"/>
  <c r="I86" i="26" s="1"/>
  <c r="H115" i="26"/>
  <c r="I115" i="26" s="1"/>
  <c r="L115" i="26" s="1"/>
  <c r="N115" i="26" s="1"/>
  <c r="H289" i="26"/>
  <c r="I289" i="26" s="1"/>
  <c r="L289" i="26" s="1"/>
  <c r="N289" i="26" s="1"/>
  <c r="H322" i="26"/>
  <c r="I322" i="26" s="1"/>
  <c r="L322" i="26" s="1"/>
  <c r="N322" i="26" s="1"/>
  <c r="H294" i="26"/>
  <c r="I294" i="26" s="1"/>
  <c r="H293" i="26"/>
  <c r="I293" i="26" s="1"/>
  <c r="H292" i="26"/>
  <c r="I292" i="26" s="1"/>
  <c r="H291" i="26"/>
  <c r="I291" i="26" s="1"/>
  <c r="H285" i="26"/>
  <c r="I285" i="26" s="1"/>
  <c r="L285" i="26" s="1"/>
  <c r="N285" i="26" s="1"/>
  <c r="H283" i="26"/>
  <c r="I283" i="26" s="1"/>
  <c r="H281" i="26"/>
  <c r="I281" i="26" s="1"/>
  <c r="H279" i="26"/>
  <c r="I279" i="26" s="1"/>
  <c r="H277" i="26"/>
  <c r="I277" i="26" s="1"/>
  <c r="H286" i="26"/>
  <c r="I286" i="26" s="1"/>
  <c r="L286" i="26" s="1"/>
  <c r="N286" i="26" s="1"/>
  <c r="H287" i="26"/>
  <c r="I287" i="26" s="1"/>
  <c r="H288" i="26"/>
  <c r="I288" i="26" s="1"/>
  <c r="H290" i="26"/>
  <c r="I290" i="26" s="1"/>
  <c r="H282" i="26"/>
  <c r="I282" i="26" s="1"/>
  <c r="H280" i="26"/>
  <c r="I280" i="26" s="1"/>
  <c r="H278" i="26"/>
  <c r="I278" i="26" s="1"/>
  <c r="H276" i="26"/>
  <c r="I276" i="26" s="1"/>
  <c r="H302" i="26"/>
  <c r="I302" i="26" s="1"/>
  <c r="L302" i="26" s="1"/>
  <c r="N302" i="26" s="1"/>
  <c r="H301" i="26"/>
  <c r="I301" i="26" s="1"/>
  <c r="L301" i="26" s="1"/>
  <c r="N301" i="26" s="1"/>
  <c r="H298" i="26"/>
  <c r="I298" i="26" s="1"/>
  <c r="H303" i="26"/>
  <c r="I303" i="26" s="1"/>
  <c r="L303" i="26" s="1"/>
  <c r="N303" i="26" s="1"/>
  <c r="H299" i="26"/>
  <c r="I299" i="26" s="1"/>
  <c r="H297" i="26"/>
  <c r="I297" i="26" s="1"/>
  <c r="H307" i="26"/>
  <c r="I307" i="26" s="1"/>
  <c r="L307" i="26" s="1"/>
  <c r="N307" i="26" s="1"/>
  <c r="H257" i="26"/>
  <c r="I257" i="26" s="1"/>
  <c r="H254" i="26"/>
  <c r="I254" i="26" s="1"/>
  <c r="H258" i="26"/>
  <c r="I258" i="26" s="1"/>
  <c r="H255" i="26"/>
  <c r="I255" i="26" s="1"/>
  <c r="H250" i="26"/>
  <c r="I250" i="26" s="1"/>
  <c r="H249" i="26"/>
  <c r="I249" i="26" s="1"/>
  <c r="H321" i="26"/>
  <c r="I321" i="26" s="1"/>
  <c r="H329" i="26"/>
  <c r="I329" i="26" s="1"/>
  <c r="P329" i="26" s="1"/>
  <c r="H208" i="26"/>
  <c r="I208" i="26" s="1"/>
  <c r="H209" i="26"/>
  <c r="I209" i="26" s="1"/>
  <c r="H206" i="26"/>
  <c r="I206" i="26" s="1"/>
  <c r="H183" i="26"/>
  <c r="I183" i="26" s="1"/>
  <c r="H184" i="26"/>
  <c r="I184" i="26" s="1"/>
  <c r="H324" i="26"/>
  <c r="I324" i="26" s="1"/>
  <c r="L324" i="26" s="1"/>
  <c r="N324" i="26" s="1"/>
  <c r="H323" i="26"/>
  <c r="I323" i="26" s="1"/>
  <c r="H214" i="26"/>
  <c r="I214" i="26" s="1"/>
  <c r="L214" i="26" s="1"/>
  <c r="N214" i="26" s="1"/>
  <c r="H212" i="26"/>
  <c r="I212" i="26" s="1"/>
  <c r="L212" i="26" s="1"/>
  <c r="N212" i="26" s="1"/>
  <c r="H180" i="26"/>
  <c r="I180" i="26" s="1"/>
  <c r="L180" i="26" s="1"/>
  <c r="N180" i="26" s="1"/>
  <c r="H217" i="26"/>
  <c r="I217" i="26" s="1"/>
  <c r="L217" i="26" s="1"/>
  <c r="N217" i="26" s="1"/>
  <c r="H215" i="26"/>
  <c r="I215" i="26" s="1"/>
  <c r="L215" i="26" s="1"/>
  <c r="N215" i="26" s="1"/>
  <c r="H216" i="26"/>
  <c r="I216" i="26" s="1"/>
  <c r="L216" i="26" s="1"/>
  <c r="N216" i="26" s="1"/>
  <c r="H306" i="26"/>
  <c r="I306" i="26" s="1"/>
  <c r="L306" i="26" s="1"/>
  <c r="N306" i="26" s="1"/>
  <c r="H256" i="26"/>
  <c r="I256" i="26" s="1"/>
  <c r="L256" i="26" s="1"/>
  <c r="N256" i="26" s="1"/>
  <c r="H202" i="26"/>
  <c r="I202" i="26" s="1"/>
  <c r="L202" i="26" s="1"/>
  <c r="N202" i="26" s="1"/>
  <c r="H130" i="26"/>
  <c r="I130" i="26" s="1"/>
  <c r="H127" i="26"/>
  <c r="I127" i="26" s="1"/>
  <c r="H192" i="26"/>
  <c r="I192" i="26" s="1"/>
  <c r="H187" i="26"/>
  <c r="I187" i="26" s="1"/>
  <c r="H190" i="26"/>
  <c r="I190" i="26" s="1"/>
  <c r="H198" i="26"/>
  <c r="I198" i="26" s="1"/>
  <c r="H194" i="26"/>
  <c r="I194" i="26" s="1"/>
  <c r="H195" i="26"/>
  <c r="I195" i="26" s="1"/>
  <c r="H200" i="26"/>
  <c r="I200" i="26" s="1"/>
  <c r="H201" i="26"/>
  <c r="I201" i="26" s="1"/>
  <c r="H232" i="26"/>
  <c r="I232" i="26" s="1"/>
  <c r="L232" i="26" s="1"/>
  <c r="N232" i="26" s="1"/>
  <c r="H231" i="26"/>
  <c r="I231" i="26" s="1"/>
  <c r="H233" i="26"/>
  <c r="I233" i="26" s="1"/>
  <c r="H109" i="26"/>
  <c r="I109" i="26" s="1"/>
  <c r="H107" i="26"/>
  <c r="I107" i="26" s="1"/>
  <c r="H108" i="26"/>
  <c r="I108" i="26" s="1"/>
  <c r="H106" i="26"/>
  <c r="I106" i="26" s="1"/>
  <c r="H338" i="26"/>
  <c r="I338" i="26" s="1"/>
  <c r="H259" i="26"/>
  <c r="I259" i="26" s="1"/>
  <c r="H112" i="26"/>
  <c r="I112" i="26" s="1"/>
  <c r="H219" i="26"/>
  <c r="I219" i="26" s="1"/>
  <c r="H203" i="26"/>
  <c r="I203" i="26" s="1"/>
  <c r="H239" i="26"/>
  <c r="I239" i="26" s="1"/>
  <c r="L239" i="26" s="1"/>
  <c r="N239" i="26" s="1"/>
  <c r="H251" i="26"/>
  <c r="I251" i="26" s="1"/>
  <c r="H252" i="26"/>
  <c r="I252" i="26" s="1"/>
  <c r="L252" i="26" s="1"/>
  <c r="N252" i="26" s="1"/>
  <c r="H238" i="26"/>
  <c r="I238" i="26" s="1"/>
  <c r="H103" i="26"/>
  <c r="I103" i="26" s="1"/>
  <c r="H120" i="26"/>
  <c r="I120" i="26" s="1"/>
  <c r="P120" i="26" s="1"/>
  <c r="I268" i="26"/>
  <c r="H241" i="26"/>
  <c r="I241" i="26" s="1"/>
  <c r="H236" i="26"/>
  <c r="I236" i="26" s="1"/>
  <c r="H118" i="26"/>
  <c r="I118" i="26" s="1"/>
  <c r="H99" i="26"/>
  <c r="I99" i="26" s="1"/>
  <c r="H100" i="26"/>
  <c r="I100" i="26" s="1"/>
  <c r="H346" i="26"/>
  <c r="I346" i="26" s="1"/>
  <c r="H343" i="26"/>
  <c r="I343" i="26" s="1"/>
  <c r="H58" i="26"/>
  <c r="I58" i="26" s="1"/>
  <c r="P58" i="26" s="1"/>
  <c r="H44" i="26"/>
  <c r="I44" i="26" s="1"/>
  <c r="H31" i="26"/>
  <c r="I31" i="26" s="1"/>
  <c r="P31" i="26" s="1"/>
  <c r="H23" i="26"/>
  <c r="I23" i="26" s="1"/>
  <c r="H57" i="26"/>
  <c r="I57" i="26" s="1"/>
  <c r="H43" i="26"/>
  <c r="I43" i="26" s="1"/>
  <c r="H30" i="26"/>
  <c r="I30" i="26" s="1"/>
  <c r="H22" i="26"/>
  <c r="I22" i="26" s="1"/>
  <c r="H68" i="26"/>
  <c r="I68" i="26" s="1"/>
  <c r="P68" i="26" s="1"/>
  <c r="H54" i="26"/>
  <c r="I54" i="26" s="1"/>
  <c r="H42" i="26"/>
  <c r="I42" i="26" s="1"/>
  <c r="H29" i="26"/>
  <c r="I29" i="26" s="1"/>
  <c r="H65" i="26"/>
  <c r="I65" i="26" s="1"/>
  <c r="H53" i="26"/>
  <c r="I53" i="26" s="1"/>
  <c r="H41" i="26"/>
  <c r="I41" i="26" s="1"/>
  <c r="H28" i="26"/>
  <c r="I28" i="26" s="1"/>
  <c r="H64" i="26"/>
  <c r="I64" i="26" s="1"/>
  <c r="H52" i="26"/>
  <c r="I52" i="26" s="1"/>
  <c r="H40" i="26"/>
  <c r="I40" i="26" s="1"/>
  <c r="H27" i="26"/>
  <c r="I27" i="26" s="1"/>
  <c r="P27" i="26" s="1"/>
  <c r="H63" i="26"/>
  <c r="I63" i="26" s="1"/>
  <c r="H51" i="26"/>
  <c r="I51" i="26" s="1"/>
  <c r="H36" i="26"/>
  <c r="I36" i="26" s="1"/>
  <c r="P36" i="26" s="1"/>
  <c r="H26" i="26"/>
  <c r="I26" i="26" s="1"/>
  <c r="H59" i="26"/>
  <c r="I59" i="26" s="1"/>
  <c r="H45" i="26"/>
  <c r="I45" i="26" s="1"/>
  <c r="P45" i="26" s="1"/>
  <c r="H34" i="26"/>
  <c r="I34" i="26" s="1"/>
  <c r="P34" i="26" s="1"/>
  <c r="H24" i="26"/>
  <c r="I24" i="26" s="1"/>
  <c r="H50" i="26"/>
  <c r="I50" i="26" s="1"/>
  <c r="H35" i="26"/>
  <c r="I35" i="26" s="1"/>
  <c r="P35" i="26" s="1"/>
  <c r="H25" i="26"/>
  <c r="I25" i="26" s="1"/>
  <c r="H60" i="26"/>
  <c r="I60" i="26" s="1"/>
  <c r="H82" i="26"/>
  <c r="I82" i="26" s="1"/>
  <c r="H81" i="26"/>
  <c r="I81" i="26" s="1"/>
  <c r="H83" i="26"/>
  <c r="I83" i="26" s="1"/>
  <c r="H80" i="26"/>
  <c r="I80" i="26" s="1"/>
  <c r="H21" i="26"/>
  <c r="I21" i="26" s="1"/>
  <c r="Q93" i="26" l="1"/>
  <c r="P321" i="26"/>
  <c r="L321" i="26"/>
  <c r="N321" i="26" s="1"/>
  <c r="Q321" i="26" s="1"/>
  <c r="S91" i="26"/>
  <c r="T91" i="26" s="1"/>
  <c r="Q91" i="26"/>
  <c r="S93" i="26"/>
  <c r="T93" i="26" s="1"/>
  <c r="L318" i="26"/>
  <c r="N318" i="26" s="1"/>
  <c r="S318" i="26" s="1"/>
  <c r="T318" i="26" s="1"/>
  <c r="P92" i="26"/>
  <c r="L92" i="26"/>
  <c r="N92" i="26" s="1"/>
  <c r="P94" i="26"/>
  <c r="L94" i="26"/>
  <c r="N94" i="26" s="1"/>
  <c r="Q94" i="26" s="1"/>
  <c r="L171" i="26"/>
  <c r="N171" i="26" s="1"/>
  <c r="S171" i="26" s="1"/>
  <c r="T171" i="26" s="1"/>
  <c r="P226" i="26"/>
  <c r="L226" i="26"/>
  <c r="N226" i="26" s="1"/>
  <c r="P225" i="26"/>
  <c r="L225" i="26"/>
  <c r="N225" i="26" s="1"/>
  <c r="L119" i="26"/>
  <c r="N119" i="26" s="1"/>
  <c r="Q119" i="26" s="1"/>
  <c r="L173" i="26"/>
  <c r="N173" i="26" s="1"/>
  <c r="S173" i="26" s="1"/>
  <c r="T173" i="26" s="1"/>
  <c r="P169" i="26"/>
  <c r="L169" i="26"/>
  <c r="N169" i="26" s="1"/>
  <c r="P170" i="26"/>
  <c r="L170" i="26"/>
  <c r="N170" i="26" s="1"/>
  <c r="P172" i="26"/>
  <c r="L172" i="26"/>
  <c r="N172" i="26" s="1"/>
  <c r="L175" i="26"/>
  <c r="N175" i="26" s="1"/>
  <c r="S175" i="26" s="1"/>
  <c r="T175" i="26" s="1"/>
  <c r="P174" i="26"/>
  <c r="L174" i="26"/>
  <c r="N174" i="26" s="1"/>
  <c r="P176" i="26"/>
  <c r="L176" i="26"/>
  <c r="N176" i="26" s="1"/>
  <c r="L189" i="26"/>
  <c r="N189" i="26" s="1"/>
  <c r="Q189" i="26" s="1"/>
  <c r="P168" i="26"/>
  <c r="L168" i="26"/>
  <c r="N168" i="26" s="1"/>
  <c r="P114" i="26"/>
  <c r="S114" i="26" s="1"/>
  <c r="T114" i="26" s="1"/>
  <c r="L230" i="26"/>
  <c r="N230" i="26" s="1"/>
  <c r="P230" i="26"/>
  <c r="L332" i="26"/>
  <c r="N332" i="26" s="1"/>
  <c r="Q332" i="26" s="1"/>
  <c r="P229" i="26"/>
  <c r="L229" i="26"/>
  <c r="N229" i="26" s="1"/>
  <c r="P87" i="26"/>
  <c r="S87" i="26" s="1"/>
  <c r="T87" i="26" s="1"/>
  <c r="P333" i="26"/>
  <c r="L333" i="26"/>
  <c r="N333" i="26" s="1"/>
  <c r="L334" i="26"/>
  <c r="N334" i="26" s="1"/>
  <c r="P334" i="26"/>
  <c r="L313" i="26"/>
  <c r="N313" i="26" s="1"/>
  <c r="P313" i="26"/>
  <c r="P315" i="26"/>
  <c r="L315" i="26"/>
  <c r="N315" i="26" s="1"/>
  <c r="L314" i="26"/>
  <c r="N314" i="26" s="1"/>
  <c r="P314" i="26"/>
  <c r="P312" i="26"/>
  <c r="L312" i="26"/>
  <c r="N312" i="26" s="1"/>
  <c r="P222" i="26"/>
  <c r="Q222" i="26" s="1"/>
  <c r="L220" i="26"/>
  <c r="N220" i="26" s="1"/>
  <c r="P220" i="26"/>
  <c r="P221" i="26"/>
  <c r="L221" i="26"/>
  <c r="N221" i="26" s="1"/>
  <c r="L88" i="26"/>
  <c r="N88" i="26" s="1"/>
  <c r="S88" i="26" s="1"/>
  <c r="T88" i="26" s="1"/>
  <c r="P218" i="26"/>
  <c r="P207" i="26"/>
  <c r="Q207" i="26" s="1"/>
  <c r="P213" i="26"/>
  <c r="P199" i="26"/>
  <c r="Q199" i="26" s="1"/>
  <c r="L193" i="26"/>
  <c r="N193" i="26" s="1"/>
  <c r="P193" i="26"/>
  <c r="L196" i="26"/>
  <c r="N196" i="26" s="1"/>
  <c r="L197" i="26"/>
  <c r="N197" i="26" s="1"/>
  <c r="P197" i="26"/>
  <c r="P188" i="26"/>
  <c r="Q188" i="26" s="1"/>
  <c r="P191" i="26"/>
  <c r="L191" i="26"/>
  <c r="N191" i="26" s="1"/>
  <c r="L113" i="26"/>
  <c r="N113" i="26" s="1"/>
  <c r="Q113" i="26" s="1"/>
  <c r="P128" i="26"/>
  <c r="Q128" i="26" s="1"/>
  <c r="L129" i="26"/>
  <c r="N129" i="26" s="1"/>
  <c r="P129" i="26"/>
  <c r="L123" i="26"/>
  <c r="N123" i="26" s="1"/>
  <c r="P123" i="26"/>
  <c r="P124" i="26"/>
  <c r="L124" i="26"/>
  <c r="N124" i="26" s="1"/>
  <c r="P115" i="26"/>
  <c r="S115" i="26" s="1"/>
  <c r="T115" i="26" s="1"/>
  <c r="L157" i="26"/>
  <c r="N157" i="26" s="1"/>
  <c r="P157" i="26"/>
  <c r="P150" i="26"/>
  <c r="L150" i="26"/>
  <c r="N150" i="26" s="1"/>
  <c r="L158" i="26"/>
  <c r="N158" i="26" s="1"/>
  <c r="P158" i="26"/>
  <c r="L151" i="26"/>
  <c r="N151" i="26" s="1"/>
  <c r="P151" i="26"/>
  <c r="L159" i="26"/>
  <c r="N159" i="26" s="1"/>
  <c r="P159" i="26"/>
  <c r="L152" i="26"/>
  <c r="N152" i="26" s="1"/>
  <c r="P152" i="26"/>
  <c r="L160" i="26"/>
  <c r="N160" i="26" s="1"/>
  <c r="P160" i="26"/>
  <c r="L153" i="26"/>
  <c r="N153" i="26" s="1"/>
  <c r="P153" i="26"/>
  <c r="L161" i="26"/>
  <c r="N161" i="26" s="1"/>
  <c r="P161" i="26"/>
  <c r="L154" i="26"/>
  <c r="N154" i="26" s="1"/>
  <c r="P154" i="26"/>
  <c r="L162" i="26"/>
  <c r="N162" i="26" s="1"/>
  <c r="P162" i="26"/>
  <c r="L155" i="26"/>
  <c r="N155" i="26" s="1"/>
  <c r="P155" i="26"/>
  <c r="L163" i="26"/>
  <c r="N163" i="26" s="1"/>
  <c r="P163" i="26"/>
  <c r="P156" i="26"/>
  <c r="L156" i="26"/>
  <c r="N156" i="26" s="1"/>
  <c r="L164" i="26"/>
  <c r="N164" i="26" s="1"/>
  <c r="P164" i="26"/>
  <c r="L165" i="26"/>
  <c r="N165" i="26" s="1"/>
  <c r="P165" i="26"/>
  <c r="L147" i="26"/>
  <c r="N147" i="26" s="1"/>
  <c r="P147" i="26"/>
  <c r="L144" i="26"/>
  <c r="N144" i="26" s="1"/>
  <c r="P144" i="26"/>
  <c r="L167" i="26"/>
  <c r="N167" i="26" s="1"/>
  <c r="P167" i="26"/>
  <c r="P149" i="26"/>
  <c r="L149" i="26"/>
  <c r="N149" i="26" s="1"/>
  <c r="L146" i="26"/>
  <c r="N146" i="26" s="1"/>
  <c r="P146" i="26"/>
  <c r="L143" i="26"/>
  <c r="N143" i="26" s="1"/>
  <c r="P143" i="26"/>
  <c r="P166" i="26"/>
  <c r="L166" i="26"/>
  <c r="N166" i="26" s="1"/>
  <c r="L148" i="26"/>
  <c r="N148" i="26" s="1"/>
  <c r="P148" i="26"/>
  <c r="P145" i="26"/>
  <c r="L145" i="26"/>
  <c r="N145" i="26" s="1"/>
  <c r="P177" i="26"/>
  <c r="L177" i="26"/>
  <c r="N177" i="26" s="1"/>
  <c r="L134" i="26"/>
  <c r="N134" i="26" s="1"/>
  <c r="P134" i="26"/>
  <c r="L133" i="26"/>
  <c r="N133" i="26" s="1"/>
  <c r="P133" i="26"/>
  <c r="L135" i="26"/>
  <c r="N135" i="26" s="1"/>
  <c r="P135" i="26"/>
  <c r="L137" i="26"/>
  <c r="N137" i="26" s="1"/>
  <c r="P137" i="26"/>
  <c r="L136" i="26"/>
  <c r="N136" i="26" s="1"/>
  <c r="P136" i="26"/>
  <c r="L138" i="26"/>
  <c r="N138" i="26" s="1"/>
  <c r="P138" i="26"/>
  <c r="L140" i="26"/>
  <c r="N140" i="26" s="1"/>
  <c r="P140" i="26"/>
  <c r="L139" i="26"/>
  <c r="N139" i="26" s="1"/>
  <c r="P139" i="26"/>
  <c r="P141" i="26"/>
  <c r="L141" i="26"/>
  <c r="N141" i="26" s="1"/>
  <c r="P142" i="26"/>
  <c r="L142" i="26"/>
  <c r="N142" i="26" s="1"/>
  <c r="P337" i="26"/>
  <c r="Q337" i="26" s="1"/>
  <c r="L90" i="26"/>
  <c r="N90" i="26" s="1"/>
  <c r="P90" i="26"/>
  <c r="L89" i="26"/>
  <c r="N89" i="26" s="1"/>
  <c r="P89" i="26"/>
  <c r="L95" i="26"/>
  <c r="N95" i="26" s="1"/>
  <c r="P95" i="26"/>
  <c r="L86" i="26"/>
  <c r="N86" i="26" s="1"/>
  <c r="P86" i="26"/>
  <c r="P289" i="26"/>
  <c r="S289" i="26" s="1"/>
  <c r="T289" i="26" s="1"/>
  <c r="P322" i="26"/>
  <c r="L276" i="26"/>
  <c r="N276" i="26" s="1"/>
  <c r="P276" i="26"/>
  <c r="P286" i="26"/>
  <c r="P283" i="26"/>
  <c r="L283" i="26"/>
  <c r="N283" i="26" s="1"/>
  <c r="L293" i="26"/>
  <c r="N293" i="26" s="1"/>
  <c r="P293" i="26"/>
  <c r="L287" i="26"/>
  <c r="N287" i="26" s="1"/>
  <c r="P287" i="26"/>
  <c r="L281" i="26"/>
  <c r="N281" i="26" s="1"/>
  <c r="P281" i="26"/>
  <c r="L278" i="26"/>
  <c r="N278" i="26" s="1"/>
  <c r="P278" i="26"/>
  <c r="L290" i="26"/>
  <c r="N290" i="26" s="1"/>
  <c r="P290" i="26"/>
  <c r="P277" i="26"/>
  <c r="L277" i="26"/>
  <c r="N277" i="26" s="1"/>
  <c r="P285" i="26"/>
  <c r="L294" i="26"/>
  <c r="N294" i="26" s="1"/>
  <c r="P294" i="26"/>
  <c r="L282" i="26"/>
  <c r="N282" i="26" s="1"/>
  <c r="P282" i="26"/>
  <c r="L292" i="26"/>
  <c r="N292" i="26" s="1"/>
  <c r="P292" i="26"/>
  <c r="L280" i="26"/>
  <c r="N280" i="26" s="1"/>
  <c r="P280" i="26"/>
  <c r="L288" i="26"/>
  <c r="N288" i="26" s="1"/>
  <c r="P288" i="26"/>
  <c r="P279" i="26"/>
  <c r="L279" i="26"/>
  <c r="N279" i="26" s="1"/>
  <c r="P291" i="26"/>
  <c r="L291" i="26"/>
  <c r="N291" i="26" s="1"/>
  <c r="L297" i="26"/>
  <c r="N297" i="26" s="1"/>
  <c r="P297" i="26"/>
  <c r="P301" i="26"/>
  <c r="L299" i="26"/>
  <c r="N299" i="26" s="1"/>
  <c r="P299" i="26"/>
  <c r="P302" i="26"/>
  <c r="P303" i="26"/>
  <c r="L298" i="26"/>
  <c r="N298" i="26" s="1"/>
  <c r="P298" i="26"/>
  <c r="P307" i="26"/>
  <c r="L254" i="26"/>
  <c r="N254" i="26" s="1"/>
  <c r="P254" i="26"/>
  <c r="P257" i="26"/>
  <c r="L257" i="26"/>
  <c r="N257" i="26" s="1"/>
  <c r="L255" i="26"/>
  <c r="N255" i="26" s="1"/>
  <c r="P255" i="26"/>
  <c r="P258" i="26"/>
  <c r="L258" i="26"/>
  <c r="N258" i="26" s="1"/>
  <c r="P249" i="26"/>
  <c r="L249" i="26"/>
  <c r="N249" i="26" s="1"/>
  <c r="P250" i="26"/>
  <c r="L250" i="26"/>
  <c r="N250" i="26" s="1"/>
  <c r="L329" i="26"/>
  <c r="N329" i="26" s="1"/>
  <c r="Q329" i="26" s="1"/>
  <c r="L206" i="26"/>
  <c r="N206" i="26" s="1"/>
  <c r="P206" i="26"/>
  <c r="P209" i="26"/>
  <c r="L209" i="26"/>
  <c r="N209" i="26" s="1"/>
  <c r="P208" i="26"/>
  <c r="L208" i="26"/>
  <c r="N208" i="26" s="1"/>
  <c r="Q208" i="26" s="1"/>
  <c r="L29" i="26"/>
  <c r="N29" i="26" s="1"/>
  <c r="P29" i="26"/>
  <c r="L21" i="26"/>
  <c r="N21" i="26" s="1"/>
  <c r="P21" i="26"/>
  <c r="L42" i="26"/>
  <c r="N42" i="26" s="1"/>
  <c r="P42" i="26"/>
  <c r="L51" i="26"/>
  <c r="N51" i="26" s="1"/>
  <c r="P51" i="26"/>
  <c r="L54" i="26"/>
  <c r="N54" i="26" s="1"/>
  <c r="P54" i="26"/>
  <c r="L65" i="26"/>
  <c r="N65" i="26" s="1"/>
  <c r="P65" i="26"/>
  <c r="L63" i="26"/>
  <c r="N63" i="26" s="1"/>
  <c r="P63" i="26"/>
  <c r="L60" i="26"/>
  <c r="N60" i="26" s="1"/>
  <c r="P60" i="26"/>
  <c r="L22" i="26"/>
  <c r="N22" i="26" s="1"/>
  <c r="P22" i="26"/>
  <c r="L25" i="26"/>
  <c r="N25" i="26" s="1"/>
  <c r="P25" i="26"/>
  <c r="L40" i="26"/>
  <c r="N40" i="26" s="1"/>
  <c r="P40" i="26"/>
  <c r="L30" i="26"/>
  <c r="N30" i="26" s="1"/>
  <c r="P30" i="26"/>
  <c r="L52" i="26"/>
  <c r="N52" i="26" s="1"/>
  <c r="P52" i="26"/>
  <c r="L43" i="26"/>
  <c r="N43" i="26" s="1"/>
  <c r="P43" i="26"/>
  <c r="L50" i="26"/>
  <c r="N50" i="26" s="1"/>
  <c r="P50" i="26"/>
  <c r="L64" i="26"/>
  <c r="N64" i="26" s="1"/>
  <c r="P64" i="26"/>
  <c r="L57" i="26"/>
  <c r="N57" i="26" s="1"/>
  <c r="P57" i="26"/>
  <c r="L59" i="26"/>
  <c r="N59" i="26" s="1"/>
  <c r="P59" i="26"/>
  <c r="L26" i="26"/>
  <c r="N26" i="26" s="1"/>
  <c r="P26" i="26"/>
  <c r="L24" i="26"/>
  <c r="N24" i="26" s="1"/>
  <c r="P24" i="26"/>
  <c r="L23" i="26"/>
  <c r="N23" i="26" s="1"/>
  <c r="P23" i="26"/>
  <c r="L41" i="26"/>
  <c r="N41" i="26" s="1"/>
  <c r="P41" i="26"/>
  <c r="L28" i="26"/>
  <c r="N28" i="26" s="1"/>
  <c r="P28" i="26"/>
  <c r="L53" i="26"/>
  <c r="N53" i="26" s="1"/>
  <c r="P53" i="26"/>
  <c r="L44" i="26"/>
  <c r="N44" i="26" s="1"/>
  <c r="P44" i="26"/>
  <c r="L184" i="26"/>
  <c r="N184" i="26" s="1"/>
  <c r="P184" i="26"/>
  <c r="L183" i="26"/>
  <c r="N183" i="26" s="1"/>
  <c r="P183" i="26"/>
  <c r="P180" i="26"/>
  <c r="S180" i="26" s="1"/>
  <c r="T180" i="26" s="1"/>
  <c r="P324" i="26"/>
  <c r="L323" i="26"/>
  <c r="N323" i="26" s="1"/>
  <c r="P323" i="26"/>
  <c r="P212" i="26"/>
  <c r="P214" i="26"/>
  <c r="P216" i="26"/>
  <c r="P215" i="26"/>
  <c r="P217" i="26"/>
  <c r="P256" i="26"/>
  <c r="S256" i="26" s="1"/>
  <c r="T256" i="26" s="1"/>
  <c r="P306" i="26"/>
  <c r="P202" i="26"/>
  <c r="Q202" i="26" s="1"/>
  <c r="P130" i="26"/>
  <c r="L130" i="26"/>
  <c r="N130" i="26" s="1"/>
  <c r="L127" i="26"/>
  <c r="N127" i="26" s="1"/>
  <c r="P127" i="26"/>
  <c r="L190" i="26"/>
  <c r="N190" i="26" s="1"/>
  <c r="P190" i="26"/>
  <c r="L187" i="26"/>
  <c r="N187" i="26" s="1"/>
  <c r="P187" i="26"/>
  <c r="E22" i="12" s="1"/>
  <c r="L192" i="26"/>
  <c r="N192" i="26" s="1"/>
  <c r="P192" i="26"/>
  <c r="L194" i="26"/>
  <c r="N194" i="26" s="1"/>
  <c r="P194" i="26"/>
  <c r="L195" i="26"/>
  <c r="N195" i="26" s="1"/>
  <c r="P195" i="26"/>
  <c r="P198" i="26"/>
  <c r="L198" i="26"/>
  <c r="N198" i="26" s="1"/>
  <c r="L201" i="26"/>
  <c r="N201" i="26" s="1"/>
  <c r="P201" i="26"/>
  <c r="L200" i="26"/>
  <c r="N200" i="26" s="1"/>
  <c r="P200" i="26"/>
  <c r="P232" i="26"/>
  <c r="Q232" i="26" s="1"/>
  <c r="L231" i="26"/>
  <c r="N231" i="26" s="1"/>
  <c r="P231" i="26"/>
  <c r="L233" i="26"/>
  <c r="N233" i="26" s="1"/>
  <c r="P233" i="26"/>
  <c r="L106" i="26"/>
  <c r="N106" i="26" s="1"/>
  <c r="P106" i="26"/>
  <c r="L108" i="26"/>
  <c r="N108" i="26" s="1"/>
  <c r="P108" i="26"/>
  <c r="L107" i="26"/>
  <c r="N107" i="26" s="1"/>
  <c r="P107" i="26"/>
  <c r="L109" i="26"/>
  <c r="N109" i="26" s="1"/>
  <c r="P109" i="26"/>
  <c r="Q109" i="26" s="1"/>
  <c r="P338" i="26"/>
  <c r="L338" i="26"/>
  <c r="N338" i="26" s="1"/>
  <c r="L259" i="26"/>
  <c r="N259" i="26" s="1"/>
  <c r="P259" i="26"/>
  <c r="L112" i="26"/>
  <c r="N112" i="26" s="1"/>
  <c r="P112" i="26"/>
  <c r="L219" i="26"/>
  <c r="N219" i="26" s="1"/>
  <c r="P219" i="26"/>
  <c r="L203" i="26"/>
  <c r="N203" i="26" s="1"/>
  <c r="P203" i="26"/>
  <c r="P239" i="26"/>
  <c r="Q239" i="26" s="1"/>
  <c r="P252" i="26"/>
  <c r="P251" i="26"/>
  <c r="L251" i="26"/>
  <c r="N251" i="26" s="1"/>
  <c r="P238" i="26"/>
  <c r="L238" i="26"/>
  <c r="N238" i="26" s="1"/>
  <c r="L103" i="26"/>
  <c r="N103" i="26" s="1"/>
  <c r="P103" i="26"/>
  <c r="L120" i="26"/>
  <c r="N120" i="26" s="1"/>
  <c r="S120" i="26" s="1"/>
  <c r="T120" i="26" s="1"/>
  <c r="P268" i="26"/>
  <c r="L268" i="26"/>
  <c r="N268" i="26" s="1"/>
  <c r="P241" i="26"/>
  <c r="L241" i="26"/>
  <c r="N241" i="26" s="1"/>
  <c r="L236" i="26"/>
  <c r="N236" i="26" s="1"/>
  <c r="P236" i="26"/>
  <c r="P118" i="26"/>
  <c r="L118" i="26"/>
  <c r="N118" i="26" s="1"/>
  <c r="L100" i="26"/>
  <c r="N100" i="26" s="1"/>
  <c r="P100" i="26"/>
  <c r="L99" i="26"/>
  <c r="N99" i="26" s="1"/>
  <c r="P99" i="26"/>
  <c r="L346" i="26"/>
  <c r="N346" i="26" s="1"/>
  <c r="P346" i="26"/>
  <c r="P343" i="26"/>
  <c r="L343" i="26"/>
  <c r="N343" i="26" s="1"/>
  <c r="P80" i="26"/>
  <c r="L80" i="26"/>
  <c r="N80" i="26" s="1"/>
  <c r="L31" i="26"/>
  <c r="N31" i="26" s="1"/>
  <c r="S31" i="26" s="1"/>
  <c r="T31" i="26" s="1"/>
  <c r="L83" i="26"/>
  <c r="N83" i="26" s="1"/>
  <c r="P83" i="26"/>
  <c r="L82" i="26"/>
  <c r="N82" i="26" s="1"/>
  <c r="P82" i="26"/>
  <c r="P81" i="26"/>
  <c r="L81" i="26"/>
  <c r="N81" i="26" s="1"/>
  <c r="Q191" i="26" l="1"/>
  <c r="Q193" i="26"/>
  <c r="Q318" i="26"/>
  <c r="Q203" i="26"/>
  <c r="Q201" i="26"/>
  <c r="Q200" i="26"/>
  <c r="Q198" i="26"/>
  <c r="Q197" i="26"/>
  <c r="Q195" i="26"/>
  <c r="Q194" i="26"/>
  <c r="Q192" i="26"/>
  <c r="Q190" i="26"/>
  <c r="Q187" i="26"/>
  <c r="Q206" i="26"/>
  <c r="Q209" i="26"/>
  <c r="S196" i="26"/>
  <c r="T196" i="26" s="1"/>
  <c r="Q196" i="26"/>
  <c r="Q95" i="26"/>
  <c r="Q90" i="26"/>
  <c r="S226" i="26"/>
  <c r="T226" i="26" s="1"/>
  <c r="Q89" i="26"/>
  <c r="S92" i="26"/>
  <c r="T92" i="26" s="1"/>
  <c r="Q92" i="26"/>
  <c r="S94" i="26"/>
  <c r="T94" i="26" s="1"/>
  <c r="S170" i="26"/>
  <c r="T170" i="26" s="1"/>
  <c r="Q171" i="26"/>
  <c r="S119" i="26"/>
  <c r="T119" i="26" s="1"/>
  <c r="S225" i="26"/>
  <c r="T225" i="26" s="1"/>
  <c r="Q225" i="26"/>
  <c r="S169" i="26"/>
  <c r="T169" i="26" s="1"/>
  <c r="Q226" i="26"/>
  <c r="Q173" i="26"/>
  <c r="S172" i="26"/>
  <c r="T172" i="26" s="1"/>
  <c r="Q170" i="26"/>
  <c r="Q175" i="26"/>
  <c r="Q169" i="26"/>
  <c r="S176" i="26"/>
  <c r="T176" i="26" s="1"/>
  <c r="Q172" i="26"/>
  <c r="S174" i="26"/>
  <c r="T174" i="26" s="1"/>
  <c r="S189" i="26"/>
  <c r="T189" i="26" s="1"/>
  <c r="S168" i="26"/>
  <c r="T168" i="26" s="1"/>
  <c r="Q174" i="26"/>
  <c r="Q176" i="26"/>
  <c r="Q168" i="26"/>
  <c r="S332" i="26"/>
  <c r="T332" i="26" s="1"/>
  <c r="Q87" i="26"/>
  <c r="Q114" i="26"/>
  <c r="S230" i="26"/>
  <c r="T230" i="26" s="1"/>
  <c r="Q230" i="26"/>
  <c r="S229" i="26"/>
  <c r="T229" i="26" s="1"/>
  <c r="Q229" i="26"/>
  <c r="S312" i="26"/>
  <c r="T312" i="26" s="1"/>
  <c r="S333" i="26"/>
  <c r="T333" i="26" s="1"/>
  <c r="Q333" i="26"/>
  <c r="S315" i="26"/>
  <c r="T315" i="26" s="1"/>
  <c r="S334" i="26"/>
  <c r="T334" i="26" s="1"/>
  <c r="Q334" i="26"/>
  <c r="Q314" i="26"/>
  <c r="Q313" i="26"/>
  <c r="S222" i="26"/>
  <c r="T222" i="26" s="1"/>
  <c r="S314" i="26"/>
  <c r="T314" i="26" s="1"/>
  <c r="Q312" i="26"/>
  <c r="Q315" i="26"/>
  <c r="S313" i="26"/>
  <c r="T313" i="26" s="1"/>
  <c r="Q88" i="26"/>
  <c r="S221" i="26"/>
  <c r="T221" i="26" s="1"/>
  <c r="Q220" i="26"/>
  <c r="Q221" i="26"/>
  <c r="S218" i="26"/>
  <c r="T218" i="26" s="1"/>
  <c r="S220" i="26"/>
  <c r="T220" i="26" s="1"/>
  <c r="Q218" i="26"/>
  <c r="S199" i="26"/>
  <c r="T199" i="26" s="1"/>
  <c r="Q213" i="26"/>
  <c r="S207" i="26"/>
  <c r="T207" i="26" s="1"/>
  <c r="Q115" i="26"/>
  <c r="S213" i="26"/>
  <c r="T213" i="26" s="1"/>
  <c r="S193" i="26"/>
  <c r="T193" i="26" s="1"/>
  <c r="S113" i="26"/>
  <c r="T113" i="26" s="1"/>
  <c r="S128" i="26"/>
  <c r="T128" i="26" s="1"/>
  <c r="S191" i="26"/>
  <c r="T191" i="26" s="1"/>
  <c r="S188" i="26"/>
  <c r="T188" i="26" s="1"/>
  <c r="S197" i="26"/>
  <c r="T197" i="26" s="1"/>
  <c r="S129" i="26"/>
  <c r="T129" i="26" s="1"/>
  <c r="Q129" i="26"/>
  <c r="Q123" i="26"/>
  <c r="S124" i="26"/>
  <c r="T124" i="26" s="1"/>
  <c r="Q124" i="26"/>
  <c r="S123" i="26"/>
  <c r="T123" i="26" s="1"/>
  <c r="S143" i="26"/>
  <c r="T143" i="26" s="1"/>
  <c r="Q149" i="26"/>
  <c r="S144" i="26"/>
  <c r="T144" i="26" s="1"/>
  <c r="Q156" i="26"/>
  <c r="S155" i="26"/>
  <c r="T155" i="26" s="1"/>
  <c r="S154" i="26"/>
  <c r="T154" i="26" s="1"/>
  <c r="S153" i="26"/>
  <c r="T153" i="26" s="1"/>
  <c r="S160" i="26"/>
  <c r="T160" i="26" s="1"/>
  <c r="S159" i="26"/>
  <c r="T159" i="26" s="1"/>
  <c r="S145" i="26"/>
  <c r="T145" i="26" s="1"/>
  <c r="Q147" i="26"/>
  <c r="S158" i="26"/>
  <c r="T158" i="26" s="1"/>
  <c r="Q164" i="26"/>
  <c r="Q163" i="26"/>
  <c r="Q162" i="26"/>
  <c r="Q161" i="26"/>
  <c r="Q152" i="26"/>
  <c r="Q151" i="26"/>
  <c r="S150" i="26"/>
  <c r="T150" i="26" s="1"/>
  <c r="S157" i="26"/>
  <c r="T157" i="26" s="1"/>
  <c r="S140" i="26"/>
  <c r="T140" i="26" s="1"/>
  <c r="Q157" i="26"/>
  <c r="S164" i="26"/>
  <c r="T164" i="26" s="1"/>
  <c r="S163" i="26"/>
  <c r="T163" i="26" s="1"/>
  <c r="S162" i="26"/>
  <c r="T162" i="26" s="1"/>
  <c r="S161" i="26"/>
  <c r="T161" i="26" s="1"/>
  <c r="S152" i="26"/>
  <c r="T152" i="26" s="1"/>
  <c r="S151" i="26"/>
  <c r="T151" i="26" s="1"/>
  <c r="Q150" i="26"/>
  <c r="S156" i="26"/>
  <c r="T156" i="26" s="1"/>
  <c r="Q155" i="26"/>
  <c r="Q154" i="26"/>
  <c r="Q153" i="26"/>
  <c r="Q160" i="26"/>
  <c r="Q159" i="26"/>
  <c r="Q158" i="26"/>
  <c r="S165" i="26"/>
  <c r="T165" i="26" s="1"/>
  <c r="S139" i="26"/>
  <c r="T139" i="26" s="1"/>
  <c r="S138" i="26"/>
  <c r="T138" i="26" s="1"/>
  <c r="Q166" i="26"/>
  <c r="S146" i="26"/>
  <c r="T146" i="26" s="1"/>
  <c r="S167" i="26"/>
  <c r="T167" i="26" s="1"/>
  <c r="S147" i="26"/>
  <c r="T147" i="26" s="1"/>
  <c r="Q165" i="26"/>
  <c r="S177" i="26"/>
  <c r="T177" i="26" s="1"/>
  <c r="Q148" i="26"/>
  <c r="Q137" i="26"/>
  <c r="Q133" i="26"/>
  <c r="Q177" i="26"/>
  <c r="S148" i="26"/>
  <c r="T148" i="26" s="1"/>
  <c r="S166" i="26"/>
  <c r="T166" i="26" s="1"/>
  <c r="Q146" i="26"/>
  <c r="Q167" i="26"/>
  <c r="Q135" i="26"/>
  <c r="S134" i="26"/>
  <c r="T134" i="26" s="1"/>
  <c r="Q145" i="26"/>
  <c r="Q143" i="26"/>
  <c r="S149" i="26"/>
  <c r="T149" i="26" s="1"/>
  <c r="Q144" i="26"/>
  <c r="S137" i="26"/>
  <c r="T137" i="26" s="1"/>
  <c r="S135" i="26"/>
  <c r="T135" i="26" s="1"/>
  <c r="S136" i="26"/>
  <c r="T136" i="26" s="1"/>
  <c r="S133" i="26"/>
  <c r="T133" i="26" s="1"/>
  <c r="Q134" i="26"/>
  <c r="S142" i="26"/>
  <c r="T142" i="26" s="1"/>
  <c r="S141" i="26"/>
  <c r="T141" i="26" s="1"/>
  <c r="Q138" i="26"/>
  <c r="Q136" i="26"/>
  <c r="Q141" i="26"/>
  <c r="Q139" i="26"/>
  <c r="Q140" i="26"/>
  <c r="Q142" i="26"/>
  <c r="S337" i="26"/>
  <c r="T337" i="26" s="1"/>
  <c r="S89" i="26"/>
  <c r="T89" i="26" s="1"/>
  <c r="S90" i="26"/>
  <c r="T90" i="26" s="1"/>
  <c r="Q86" i="26"/>
  <c r="S95" i="26"/>
  <c r="T95" i="26" s="1"/>
  <c r="S86" i="26"/>
  <c r="T86" i="26" s="1"/>
  <c r="Q289" i="26"/>
  <c r="S279" i="26"/>
  <c r="T279" i="26" s="1"/>
  <c r="Q280" i="26"/>
  <c r="Q282" i="26"/>
  <c r="S285" i="26"/>
  <c r="T285" i="26" s="1"/>
  <c r="Q281" i="26"/>
  <c r="Q293" i="26"/>
  <c r="Q286" i="26"/>
  <c r="Q322" i="26"/>
  <c r="S322" i="26"/>
  <c r="T322" i="26" s="1"/>
  <c r="Q290" i="26"/>
  <c r="Q276" i="26"/>
  <c r="S291" i="26"/>
  <c r="T291" i="26" s="1"/>
  <c r="Q288" i="26"/>
  <c r="Q292" i="26"/>
  <c r="Q294" i="26"/>
  <c r="S277" i="26"/>
  <c r="T277" i="26" s="1"/>
  <c r="Q278" i="26"/>
  <c r="Q287" i="26"/>
  <c r="S283" i="26"/>
  <c r="T283" i="26" s="1"/>
  <c r="S298" i="26"/>
  <c r="T298" i="26" s="1"/>
  <c r="S299" i="26"/>
  <c r="T299" i="26" s="1"/>
  <c r="S297" i="26"/>
  <c r="T297" i="26" s="1"/>
  <c r="Q291" i="26"/>
  <c r="S288" i="26"/>
  <c r="T288" i="26" s="1"/>
  <c r="S292" i="26"/>
  <c r="T292" i="26" s="1"/>
  <c r="S294" i="26"/>
  <c r="T294" i="26" s="1"/>
  <c r="Q277" i="26"/>
  <c r="S278" i="26"/>
  <c r="T278" i="26" s="1"/>
  <c r="S287" i="26"/>
  <c r="T287" i="26" s="1"/>
  <c r="Q283" i="26"/>
  <c r="Q279" i="26"/>
  <c r="S280" i="26"/>
  <c r="T280" i="26" s="1"/>
  <c r="S282" i="26"/>
  <c r="T282" i="26" s="1"/>
  <c r="Q285" i="26"/>
  <c r="S290" i="26"/>
  <c r="T290" i="26" s="1"/>
  <c r="S281" i="26"/>
  <c r="T281" i="26" s="1"/>
  <c r="S293" i="26"/>
  <c r="T293" i="26" s="1"/>
  <c r="S286" i="26"/>
  <c r="T286" i="26" s="1"/>
  <c r="S276" i="26"/>
  <c r="T276" i="26" s="1"/>
  <c r="Q303" i="26"/>
  <c r="Q302" i="26"/>
  <c r="Q301" i="26"/>
  <c r="Q298" i="26"/>
  <c r="Q299" i="26"/>
  <c r="Q297" i="26"/>
  <c r="S303" i="26"/>
  <c r="T303" i="26" s="1"/>
  <c r="S302" i="26"/>
  <c r="T302" i="26" s="1"/>
  <c r="S301" i="26"/>
  <c r="T301" i="26" s="1"/>
  <c r="Q307" i="26"/>
  <c r="S307" i="26"/>
  <c r="T307" i="26" s="1"/>
  <c r="S250" i="26"/>
  <c r="T250" i="26" s="1"/>
  <c r="S258" i="26"/>
  <c r="T258" i="26" s="1"/>
  <c r="S257" i="26"/>
  <c r="T257" i="26" s="1"/>
  <c r="S254" i="26"/>
  <c r="T254" i="26" s="1"/>
  <c r="Q257" i="26"/>
  <c r="S249" i="26"/>
  <c r="T249" i="26" s="1"/>
  <c r="Q255" i="26"/>
  <c r="Q254" i="26"/>
  <c r="Q258" i="26"/>
  <c r="S255" i="26"/>
  <c r="T255" i="26" s="1"/>
  <c r="Q250" i="26"/>
  <c r="Q249" i="26"/>
  <c r="S321" i="26"/>
  <c r="T321" i="26" s="1"/>
  <c r="Q43" i="26"/>
  <c r="S329" i="26"/>
  <c r="T329" i="26" s="1"/>
  <c r="Q42" i="26"/>
  <c r="S209" i="26"/>
  <c r="T209" i="26" s="1"/>
  <c r="Q50" i="26"/>
  <c r="Q22" i="26"/>
  <c r="Q41" i="26"/>
  <c r="Q64" i="26"/>
  <c r="Q25" i="26"/>
  <c r="Q51" i="26"/>
  <c r="S208" i="26"/>
  <c r="T208" i="26" s="1"/>
  <c r="Q44" i="26"/>
  <c r="Q63" i="26"/>
  <c r="Q29" i="26"/>
  <c r="S44" i="26"/>
  <c r="T44" i="26" s="1"/>
  <c r="S26" i="26"/>
  <c r="T26" i="26" s="1"/>
  <c r="S52" i="26"/>
  <c r="T52" i="26" s="1"/>
  <c r="Q24" i="26"/>
  <c r="Q60" i="26"/>
  <c r="Q23" i="26"/>
  <c r="Q52" i="26"/>
  <c r="S63" i="26"/>
  <c r="T63" i="26" s="1"/>
  <c r="S29" i="26"/>
  <c r="T29" i="26" s="1"/>
  <c r="S28" i="26"/>
  <c r="T28" i="26" s="1"/>
  <c r="S57" i="26"/>
  <c r="T57" i="26" s="1"/>
  <c r="S40" i="26"/>
  <c r="T40" i="26" s="1"/>
  <c r="S206" i="26"/>
  <c r="T206" i="26" s="1"/>
  <c r="S53" i="26"/>
  <c r="T53" i="26" s="1"/>
  <c r="S59" i="26"/>
  <c r="T59" i="26" s="1"/>
  <c r="S30" i="26"/>
  <c r="T30" i="26" s="1"/>
  <c r="S65" i="26"/>
  <c r="T65" i="26" s="1"/>
  <c r="Q26" i="26"/>
  <c r="S54" i="26"/>
  <c r="T54" i="26" s="1"/>
  <c r="S23" i="26"/>
  <c r="T23" i="26" s="1"/>
  <c r="S50" i="26"/>
  <c r="T50" i="26" s="1"/>
  <c r="S22" i="26"/>
  <c r="T22" i="26" s="1"/>
  <c r="E20" i="12"/>
  <c r="Q53" i="26"/>
  <c r="Q57" i="26"/>
  <c r="Q59" i="26"/>
  <c r="Q54" i="26"/>
  <c r="S41" i="26"/>
  <c r="T41" i="26" s="1"/>
  <c r="S64" i="26"/>
  <c r="T64" i="26" s="1"/>
  <c r="S25" i="26"/>
  <c r="T25" i="26" s="1"/>
  <c r="S51" i="26"/>
  <c r="T51" i="26" s="1"/>
  <c r="Q30" i="26"/>
  <c r="Q40" i="26"/>
  <c r="S42" i="26"/>
  <c r="T42" i="26" s="1"/>
  <c r="S43" i="26"/>
  <c r="T43" i="26" s="1"/>
  <c r="S60" i="26"/>
  <c r="T60" i="26" s="1"/>
  <c r="S24" i="26"/>
  <c r="T24" i="26" s="1"/>
  <c r="Q28" i="26"/>
  <c r="Q65" i="26"/>
  <c r="Q256" i="26"/>
  <c r="Q184" i="26"/>
  <c r="S183" i="26"/>
  <c r="T183" i="26" s="1"/>
  <c r="Q183" i="26"/>
  <c r="S184" i="26"/>
  <c r="T184" i="26" s="1"/>
  <c r="Q180" i="26"/>
  <c r="Q323" i="26"/>
  <c r="Q324" i="26"/>
  <c r="S323" i="26"/>
  <c r="T323" i="26" s="1"/>
  <c r="S324" i="26"/>
  <c r="T324" i="26" s="1"/>
  <c r="Q217" i="26"/>
  <c r="Q216" i="26"/>
  <c r="Q214" i="26"/>
  <c r="Q212" i="26"/>
  <c r="Q215" i="26"/>
  <c r="S214" i="26"/>
  <c r="T214" i="26" s="1"/>
  <c r="S212" i="26"/>
  <c r="T212" i="26" s="1"/>
  <c r="S215" i="26"/>
  <c r="T215" i="26" s="1"/>
  <c r="S217" i="26"/>
  <c r="T217" i="26" s="1"/>
  <c r="S216" i="26"/>
  <c r="T216" i="26" s="1"/>
  <c r="S130" i="26"/>
  <c r="T130" i="26" s="1"/>
  <c r="Q306" i="26"/>
  <c r="S306" i="26"/>
  <c r="T306" i="26" s="1"/>
  <c r="S202" i="26"/>
  <c r="T202" i="26" s="1"/>
  <c r="S127" i="26"/>
  <c r="T127" i="26" s="1"/>
  <c r="Q130" i="26"/>
  <c r="Q127" i="26"/>
  <c r="S192" i="26"/>
  <c r="T192" i="26" s="1"/>
  <c r="S190" i="26"/>
  <c r="T190" i="26" s="1"/>
  <c r="S232" i="26"/>
  <c r="T232" i="26" s="1"/>
  <c r="S194" i="26"/>
  <c r="T194" i="26" s="1"/>
  <c r="S187" i="26"/>
  <c r="T187" i="26" s="1"/>
  <c r="S195" i="26"/>
  <c r="T195" i="26" s="1"/>
  <c r="S198" i="26"/>
  <c r="T198" i="26" s="1"/>
  <c r="S200" i="26"/>
  <c r="T200" i="26" s="1"/>
  <c r="S201" i="26"/>
  <c r="T201" i="26" s="1"/>
  <c r="Q231" i="26"/>
  <c r="S233" i="26"/>
  <c r="T233" i="26" s="1"/>
  <c r="S231" i="26"/>
  <c r="T231" i="26" s="1"/>
  <c r="Q233" i="26"/>
  <c r="Q108" i="26"/>
  <c r="Q107" i="26"/>
  <c r="Q106" i="26"/>
  <c r="S109" i="26"/>
  <c r="T109" i="26" s="1"/>
  <c r="S108" i="26"/>
  <c r="T108" i="26" s="1"/>
  <c r="S107" i="26"/>
  <c r="T107" i="26" s="1"/>
  <c r="S106" i="26"/>
  <c r="T106" i="26" s="1"/>
  <c r="Q338" i="26"/>
  <c r="S338" i="26"/>
  <c r="T338" i="26" s="1"/>
  <c r="S259" i="26"/>
  <c r="T259" i="26" s="1"/>
  <c r="Q259" i="26"/>
  <c r="Q112" i="26"/>
  <c r="S112" i="26"/>
  <c r="T112" i="26" s="1"/>
  <c r="Q219" i="26"/>
  <c r="S219" i="26"/>
  <c r="T219" i="26" s="1"/>
  <c r="S239" i="26"/>
  <c r="T239" i="26" s="1"/>
  <c r="S203" i="26"/>
  <c r="T203" i="26" s="1"/>
  <c r="S251" i="26"/>
  <c r="T251" i="26" s="1"/>
  <c r="Q252" i="26"/>
  <c r="S252" i="26"/>
  <c r="T252" i="26" s="1"/>
  <c r="Q251" i="26"/>
  <c r="S238" i="26"/>
  <c r="T238" i="26" s="1"/>
  <c r="Q238" i="26"/>
  <c r="Q103" i="26"/>
  <c r="S103" i="26"/>
  <c r="T103" i="26" s="1"/>
  <c r="Q120" i="26"/>
  <c r="S268" i="26"/>
  <c r="T268" i="26" s="1"/>
  <c r="Q268" i="26"/>
  <c r="Q241" i="26"/>
  <c r="S236" i="26"/>
  <c r="T236" i="26" s="1"/>
  <c r="Q236" i="26"/>
  <c r="S241" i="26"/>
  <c r="T241" i="26" s="1"/>
  <c r="Q100" i="26"/>
  <c r="S118" i="26"/>
  <c r="T118" i="26" s="1"/>
  <c r="Q118" i="26"/>
  <c r="S99" i="26"/>
  <c r="T99" i="26" s="1"/>
  <c r="Q99" i="26"/>
  <c r="S100" i="26"/>
  <c r="T100" i="26" s="1"/>
  <c r="D23" i="12"/>
  <c r="E23" i="12"/>
  <c r="E24" i="12"/>
  <c r="D24" i="12"/>
  <c r="D25" i="12"/>
  <c r="E25" i="12"/>
  <c r="S343" i="26"/>
  <c r="T343" i="26" s="1"/>
  <c r="S346" i="26"/>
  <c r="T346" i="26" s="1"/>
  <c r="S81" i="26"/>
  <c r="T81" i="26" s="1"/>
  <c r="S82" i="26"/>
  <c r="T82" i="26" s="1"/>
  <c r="S83" i="26"/>
  <c r="T83" i="26" s="1"/>
  <c r="S80" i="26"/>
  <c r="T80" i="26" s="1"/>
  <c r="Q346" i="26"/>
  <c r="Q343" i="26"/>
  <c r="R340" i="26" s="1"/>
  <c r="S21" i="26"/>
  <c r="T21" i="26" s="1"/>
  <c r="Q31" i="26"/>
  <c r="Q83" i="26"/>
  <c r="Q81" i="26"/>
  <c r="Q80" i="26"/>
  <c r="Q82" i="26"/>
  <c r="Q21" i="26"/>
  <c r="F22" i="12" l="1"/>
  <c r="U18" i="26"/>
  <c r="S18" i="26" s="1"/>
  <c r="K46" i="26" s="1"/>
  <c r="R77" i="26"/>
  <c r="J24" i="12"/>
  <c r="F23" i="12"/>
  <c r="F24" i="12"/>
  <c r="F25" i="12"/>
  <c r="J25" i="12"/>
  <c r="J23" i="12"/>
  <c r="J22" i="12"/>
  <c r="L46" i="26" l="1"/>
  <c r="N46" i="26" s="1"/>
  <c r="K47" i="26"/>
  <c r="L47" i="26" s="1"/>
  <c r="N47" i="26" s="1"/>
  <c r="K27" i="26"/>
  <c r="K36" i="26"/>
  <c r="K35" i="26"/>
  <c r="K45" i="26"/>
  <c r="K68" i="26"/>
  <c r="K34" i="26"/>
  <c r="L24" i="12"/>
  <c r="S47" i="26" l="1"/>
  <c r="T47" i="26" s="1"/>
  <c r="Q47" i="26"/>
  <c r="S46" i="26"/>
  <c r="T46" i="26" s="1"/>
  <c r="Q46" i="26"/>
  <c r="L23" i="12"/>
  <c r="L22" i="12"/>
  <c r="L25" i="12"/>
  <c r="P348" i="26" l="1"/>
  <c r="P349" i="26" l="1"/>
  <c r="Q349" i="26" s="1"/>
  <c r="R349" i="26" s="1"/>
  <c r="E5" i="26"/>
  <c r="P350" i="26"/>
  <c r="Q350" i="26" s="1"/>
  <c r="R350" i="26" s="1"/>
  <c r="E6" i="26"/>
  <c r="P352" i="26" l="1"/>
  <c r="P353" i="26" l="1"/>
  <c r="L36" i="26" l="1"/>
  <c r="N36" i="26" s="1"/>
  <c r="S36" i="26" s="1"/>
  <c r="T36" i="26" s="1"/>
  <c r="L45" i="26"/>
  <c r="N45" i="26" s="1"/>
  <c r="S45" i="26" s="1"/>
  <c r="T45" i="26" s="1"/>
  <c r="L35" i="26"/>
  <c r="N35" i="26" s="1"/>
  <c r="S35" i="26" s="1"/>
  <c r="T35" i="26" s="1"/>
  <c r="L27" i="26"/>
  <c r="L34" i="26"/>
  <c r="N34" i="26" s="1"/>
  <c r="S34" i="26" s="1"/>
  <c r="T34" i="26" s="1"/>
  <c r="L58" i="26"/>
  <c r="N58" i="26" s="1"/>
  <c r="S58" i="26" s="1"/>
  <c r="T58" i="26" s="1"/>
  <c r="L68" i="26"/>
  <c r="N68" i="26" s="1"/>
  <c r="S68" i="26" s="1"/>
  <c r="T68" i="26" s="1"/>
  <c r="N27" i="26" l="1"/>
  <c r="L348" i="26"/>
  <c r="Q68" i="26"/>
  <c r="Q45" i="26"/>
  <c r="Q35" i="26"/>
  <c r="Q58" i="26"/>
  <c r="Q34" i="26"/>
  <c r="Q36" i="26"/>
  <c r="S27" i="26" l="1"/>
  <c r="T27" i="26" s="1"/>
  <c r="D20" i="12"/>
  <c r="N348" i="26"/>
  <c r="Q27" i="26"/>
  <c r="R18" i="26" s="1"/>
  <c r="R348" i="26" l="1"/>
  <c r="Q348" i="26"/>
  <c r="E4" i="26" s="1"/>
  <c r="F20" i="12"/>
  <c r="F26" i="12" s="1"/>
  <c r="E26" i="12"/>
  <c r="J20" i="12"/>
  <c r="D26" i="12"/>
  <c r="E7" i="26"/>
  <c r="N351" i="26"/>
  <c r="T348" i="26"/>
  <c r="T353" i="26" s="1"/>
  <c r="G22" i="12" l="1"/>
  <c r="G21" i="12"/>
  <c r="G20" i="12"/>
  <c r="G23" i="12"/>
  <c r="G25" i="12"/>
  <c r="G24" i="12"/>
  <c r="C5" i="31"/>
  <c r="E28" i="12"/>
  <c r="E27" i="12"/>
  <c r="D29" i="12"/>
  <c r="C9" i="31" s="1"/>
  <c r="C6" i="31"/>
  <c r="E8" i="26"/>
  <c r="Q351" i="26"/>
  <c r="R351" i="26" s="1"/>
  <c r="N352" i="26"/>
  <c r="Q352" i="26" s="1"/>
  <c r="J26" i="12"/>
  <c r="K20" i="12"/>
  <c r="F27" i="12" l="1"/>
  <c r="C7" i="31"/>
  <c r="F7" i="31" s="1"/>
  <c r="C8" i="31"/>
  <c r="F8" i="31" s="1"/>
  <c r="F28" i="12"/>
  <c r="F29" i="12"/>
  <c r="Q353" i="26"/>
  <c r="F9" i="31"/>
  <c r="G26" i="12"/>
  <c r="R352" i="26"/>
  <c r="R353" i="26" s="1"/>
  <c r="N353" i="26"/>
  <c r="E9" i="26"/>
  <c r="K26" i="12"/>
  <c r="L20" i="12"/>
  <c r="D39" i="12" l="1"/>
  <c r="E39" i="12"/>
  <c r="F39" i="12"/>
  <c r="G39" i="12" s="1"/>
  <c r="F38" i="12"/>
  <c r="G38" i="12" s="1"/>
  <c r="E38" i="12"/>
  <c r="F30" i="12"/>
  <c r="C10" i="31" s="1"/>
  <c r="C11" i="31" s="1"/>
  <c r="E40" i="12"/>
  <c r="D40" i="12"/>
  <c r="D43" i="12"/>
  <c r="D41" i="12"/>
  <c r="E43" i="12"/>
  <c r="F42" i="12"/>
  <c r="G42" i="12" s="1"/>
  <c r="F40" i="12"/>
  <c r="G40" i="12" s="1"/>
  <c r="F43" i="12"/>
  <c r="G43" i="12" s="1"/>
  <c r="F41" i="12"/>
  <c r="G41" i="12" s="1"/>
  <c r="E41" i="12"/>
  <c r="E42" i="12"/>
  <c r="D42" i="12"/>
  <c r="L26" i="12"/>
  <c r="D10" i="12"/>
  <c r="L6" i="12" s="1"/>
  <c r="D38" i="12"/>
  <c r="F10" i="31" l="1"/>
  <c r="F31" i="12"/>
  <c r="J40" i="12"/>
  <c r="L40" i="12" s="1"/>
  <c r="J42" i="12"/>
  <c r="L42" i="12" s="1"/>
  <c r="J41" i="12"/>
  <c r="L41" i="12" s="1"/>
  <c r="J43" i="12"/>
  <c r="L43" i="12" s="1"/>
  <c r="D7" i="31"/>
  <c r="D8" i="31"/>
  <c r="D5" i="31"/>
  <c r="D6" i="31"/>
  <c r="D9" i="31"/>
  <c r="D10" i="31"/>
  <c r="J38" i="12"/>
  <c r="E44" i="12"/>
  <c r="D44" i="12"/>
  <c r="F44" i="12"/>
  <c r="D47" i="12" l="1"/>
  <c r="F47" i="12" s="1"/>
  <c r="E46" i="12"/>
  <c r="F46" i="12" s="1"/>
  <c r="E45" i="12"/>
  <c r="F45" i="12" s="1"/>
  <c r="G44" i="12"/>
  <c r="K38" i="12"/>
  <c r="J44" i="12"/>
  <c r="F48" i="12" l="1"/>
  <c r="F49" i="12" s="1"/>
  <c r="K44" i="12"/>
  <c r="L38" i="12"/>
  <c r="L44" i="12" l="1"/>
</calcChain>
</file>

<file path=xl/sharedStrings.xml><?xml version="1.0" encoding="utf-8"?>
<sst xmlns="http://schemas.openxmlformats.org/spreadsheetml/2006/main" count="2570" uniqueCount="972">
  <si>
    <t>Project Dashboard</t>
  </si>
  <si>
    <t xml:space="preserve">      </t>
  </si>
  <si>
    <t xml:space="preserve">            Contentration of Sub-Contractor Cost</t>
  </si>
  <si>
    <t>Pie Chart:</t>
  </si>
  <si>
    <t>Type</t>
  </si>
  <si>
    <t>Amount</t>
  </si>
  <si>
    <t>Material</t>
  </si>
  <si>
    <t>Labor</t>
  </si>
  <si>
    <t>Percentage</t>
  </si>
  <si>
    <t>Material Tax</t>
  </si>
  <si>
    <t>Overhead &amp; Profit (Material)</t>
  </si>
  <si>
    <t>Overhead &amp; Profit (Labor)</t>
  </si>
  <si>
    <t>Bond Fee</t>
  </si>
  <si>
    <t>OH &amp; P on subnotes</t>
  </si>
  <si>
    <t>COST SUMMARY</t>
  </si>
  <si>
    <t>Date:</t>
  </si>
  <si>
    <t xml:space="preserve">Project Type: </t>
  </si>
  <si>
    <t>Project:</t>
  </si>
  <si>
    <t>Scope of Work:</t>
  </si>
  <si>
    <t>Project Location:</t>
  </si>
  <si>
    <t>Total Base Bid:</t>
  </si>
  <si>
    <t>BASE BID
/ALTERNATES/ALLOWANCES</t>
  </si>
  <si>
    <t>TOTAL
COSTS</t>
  </si>
  <si>
    <t>Please enter the sub-quotes in column R (Highlighted orange) against each division/trade and update the Overhead &amp; Profit % as required below; column K will be updated automatically with Subquotes with OH&amp;P. If there is no value entered in column R, the cost from column J (by DE) will be picked.</t>
  </si>
  <si>
    <t xml:space="preserve">Base Bid </t>
  </si>
  <si>
    <t>Hourly Rates Tab</t>
  </si>
  <si>
    <t>OH&amp;P on Subquotes</t>
  </si>
  <si>
    <r>
      <t>Note:</t>
    </r>
    <r>
      <rPr>
        <b/>
        <sz val="20"/>
        <rFont val="Calibri"/>
        <family val="2"/>
        <scheme val="minor"/>
      </rPr>
      <t xml:space="preserve"> Click on any of the above text to go to the relevant Tab</t>
    </r>
  </si>
  <si>
    <t>For Client's Use Only</t>
  </si>
  <si>
    <t>CSI Summary for Base Bid</t>
  </si>
  <si>
    <t>Comparison with Sub-Quotes</t>
  </si>
  <si>
    <t xml:space="preserve">Enter the numbers manually </t>
  </si>
  <si>
    <t>Enter Subquotes below</t>
  </si>
  <si>
    <t>Div. No.</t>
  </si>
  <si>
    <t>CSI Division</t>
  </si>
  <si>
    <t>Labor Cost</t>
  </si>
  <si>
    <t>Material Cost</t>
  </si>
  <si>
    <t>Total Cost</t>
  </si>
  <si>
    <t>% of sub-total cost</t>
  </si>
  <si>
    <t>Division Cost with OH&amp;P &amp; Material Tax</t>
  </si>
  <si>
    <t>Sub-Quotes w/ OH&amp;P</t>
  </si>
  <si>
    <t>Difference</t>
  </si>
  <si>
    <t>Finalized Bid amount by GC</t>
  </si>
  <si>
    <t>Remarks</t>
  </si>
  <si>
    <t>DIV-01</t>
  </si>
  <si>
    <t>General Requirements</t>
  </si>
  <si>
    <t>DIV-02</t>
  </si>
  <si>
    <t>DIV-03</t>
  </si>
  <si>
    <t>DIV-04</t>
  </si>
  <si>
    <t>DIV-05</t>
  </si>
  <si>
    <t>DIV-06</t>
  </si>
  <si>
    <t>DIV-07</t>
  </si>
  <si>
    <t>DIV-08</t>
  </si>
  <si>
    <t>DIV-09</t>
  </si>
  <si>
    <t>DIV-10</t>
  </si>
  <si>
    <t>DIV-11</t>
  </si>
  <si>
    <t>Equipment</t>
  </si>
  <si>
    <t>DIV-12</t>
  </si>
  <si>
    <t>DIV-13</t>
  </si>
  <si>
    <t>Special Construction</t>
  </si>
  <si>
    <t>DIV-14</t>
  </si>
  <si>
    <t>DIV-21</t>
  </si>
  <si>
    <t>Fire Suppression</t>
  </si>
  <si>
    <t>DIV-22</t>
  </si>
  <si>
    <t>DIV-23</t>
  </si>
  <si>
    <t>DIV-26</t>
  </si>
  <si>
    <t>Electrical</t>
  </si>
  <si>
    <t>DIV-27</t>
  </si>
  <si>
    <t>Communications</t>
  </si>
  <si>
    <t>DIV-28</t>
  </si>
  <si>
    <t>Electronic Safety &amp; Security</t>
  </si>
  <si>
    <t>DIV-31</t>
  </si>
  <si>
    <t>Earthwork</t>
  </si>
  <si>
    <t>DIV-32</t>
  </si>
  <si>
    <t>DIV-33</t>
  </si>
  <si>
    <t>Utilities</t>
  </si>
  <si>
    <t>SUB TOTAL</t>
  </si>
  <si>
    <t>MATERIAL TAX</t>
  </si>
  <si>
    <r>
      <t>OVERHEAD &amp; PROFIT / INFLATION</t>
    </r>
    <r>
      <rPr>
        <b/>
        <sz val="12"/>
        <color rgb="FFFF0000"/>
        <rFont val="Calibri"/>
        <family val="2"/>
        <scheme val="minor"/>
      </rPr>
      <t xml:space="preserve"> (Material)</t>
    </r>
  </si>
  <si>
    <r>
      <t xml:space="preserve">OVERHEAD &amp; PROFIT </t>
    </r>
    <r>
      <rPr>
        <b/>
        <sz val="12"/>
        <color rgb="FFFF0000"/>
        <rFont val="Calibri"/>
        <family val="2"/>
        <scheme val="minor"/>
      </rPr>
      <t>(Labor)</t>
    </r>
  </si>
  <si>
    <t>TOTAL BASE BID</t>
  </si>
  <si>
    <t>Sub-Contractor/Trade Summary for Base Bid</t>
  </si>
  <si>
    <t>Sub Contractor</t>
  </si>
  <si>
    <t>Sub Contractor Cost with OH&amp;P &amp; Material Tax</t>
  </si>
  <si>
    <t>Accessories</t>
  </si>
  <si>
    <t>Acoustical and Metal Ceiling</t>
  </si>
  <si>
    <t>Appliances</t>
  </si>
  <si>
    <t>Asbestos Worker</t>
  </si>
  <si>
    <t>Awnings / Canopies</t>
  </si>
  <si>
    <t>Cabinetry</t>
  </si>
  <si>
    <t>Carpenter Millwork</t>
  </si>
  <si>
    <t>Ceiling - Others</t>
  </si>
  <si>
    <t>Cladding - Metal</t>
  </si>
  <si>
    <t>Cladding - Wood</t>
  </si>
  <si>
    <t>Cladding - Other</t>
  </si>
  <si>
    <t>Clean - Power Wash</t>
  </si>
  <si>
    <t>Clearing &amp; Grubbing</t>
  </si>
  <si>
    <t>Communication</t>
  </si>
  <si>
    <t>Concrete - Building</t>
  </si>
  <si>
    <t>Countertops</t>
  </si>
  <si>
    <t>Curtain Wall</t>
  </si>
  <si>
    <t>Demo - Building</t>
  </si>
  <si>
    <t>Demo - Site</t>
  </si>
  <si>
    <t>Dewatering</t>
  </si>
  <si>
    <t>Doors &amp; Hardware</t>
  </si>
  <si>
    <t>Dry Waller</t>
  </si>
  <si>
    <t>Earth worker</t>
  </si>
  <si>
    <t>Electrician</t>
  </si>
  <si>
    <t>Electronic Safety and Security (FA)</t>
  </si>
  <si>
    <t>Elevator</t>
  </si>
  <si>
    <t>Erosion Control</t>
  </si>
  <si>
    <t>Exterior  improvements</t>
  </si>
  <si>
    <t>Exterior Painter</t>
  </si>
  <si>
    <t>Exterior Signage</t>
  </si>
  <si>
    <t>Fencing and Gates - Metal</t>
  </si>
  <si>
    <t>Fencing and Gates - Wood</t>
  </si>
  <si>
    <t>Fencing and Gates - Other</t>
  </si>
  <si>
    <t>Finish Carpenter</t>
  </si>
  <si>
    <t>Fire Proofing</t>
  </si>
  <si>
    <t>Fireplace</t>
  </si>
  <si>
    <t>Flooring</t>
  </si>
  <si>
    <t>Folding/Moveable Partition</t>
  </si>
  <si>
    <t>Framer Cold Form</t>
  </si>
  <si>
    <t>Framer Light Gauge</t>
  </si>
  <si>
    <t>Framer Lumber</t>
  </si>
  <si>
    <t>Framer Rough Carpenter</t>
  </si>
  <si>
    <t>Furniture</t>
  </si>
  <si>
    <t>Glazier</t>
  </si>
  <si>
    <t>Hazardous Material Handler</t>
  </si>
  <si>
    <t>Insulation</t>
  </si>
  <si>
    <t>Interior Painter</t>
  </si>
  <si>
    <t>Interior Signage</t>
  </si>
  <si>
    <t>Irrigation</t>
  </si>
  <si>
    <t>Joint Sealants</t>
  </si>
  <si>
    <t>Landscaper</t>
  </si>
  <si>
    <t>Mailboxes</t>
  </si>
  <si>
    <t>Mason - Brick Veneer</t>
  </si>
  <si>
    <t>Mason - Cast Stone</t>
  </si>
  <si>
    <t>Mason - CMU</t>
  </si>
  <si>
    <t>Mechanical</t>
  </si>
  <si>
    <t>Millwork</t>
  </si>
  <si>
    <t>Ornamental Steel</t>
  </si>
  <si>
    <t>Paneling - Metal</t>
  </si>
  <si>
    <t>Paneling - Wood</t>
  </si>
  <si>
    <t>Paneling - Other</t>
  </si>
  <si>
    <t>Paving</t>
  </si>
  <si>
    <t>Pergolas</t>
  </si>
  <si>
    <t>Piling</t>
  </si>
  <si>
    <t>Playground Equipment</t>
  </si>
  <si>
    <t>Plumber</t>
  </si>
  <si>
    <t>Pool</t>
  </si>
  <si>
    <t>Precast Concrete</t>
  </si>
  <si>
    <t>Pre-Engineered Metal Building</t>
  </si>
  <si>
    <t>Roof Sheathing</t>
  </si>
  <si>
    <t>Roofer</t>
  </si>
  <si>
    <t>Sheathing</t>
  </si>
  <si>
    <t>Shoring/SOE</t>
  </si>
  <si>
    <t>Siding Contractor</t>
  </si>
  <si>
    <t>Site Concrete</t>
  </si>
  <si>
    <t>Site Electrical</t>
  </si>
  <si>
    <t>Site Furnishing</t>
  </si>
  <si>
    <t>Site Paint</t>
  </si>
  <si>
    <t>Site Signage</t>
  </si>
  <si>
    <t>Skylight</t>
  </si>
  <si>
    <t>Staircases and Railings - Metal</t>
  </si>
  <si>
    <t>Staircases and Railings - Wood</t>
  </si>
  <si>
    <t>Storefront</t>
  </si>
  <si>
    <t>Structural Steel</t>
  </si>
  <si>
    <t>Stucco - EIFS</t>
  </si>
  <si>
    <t>Tiler</t>
  </si>
  <si>
    <t xml:space="preserve">Toilet Partitions </t>
  </si>
  <si>
    <t>Traffic Control</t>
  </si>
  <si>
    <t>Trellis</t>
  </si>
  <si>
    <t>Truss</t>
  </si>
  <si>
    <t>Wall Covering</t>
  </si>
  <si>
    <t>Water Proofing &amp; Damp Proofing</t>
  </si>
  <si>
    <t>Window Installer</t>
  </si>
  <si>
    <t>Wire Shelving</t>
  </si>
  <si>
    <t>ITEM #</t>
  </si>
  <si>
    <t>REF. SHEET</t>
  </si>
  <si>
    <t>DETAIL</t>
  </si>
  <si>
    <t>CSI SECT</t>
  </si>
  <si>
    <t>DESCRIPTION</t>
  </si>
  <si>
    <t>QTY.</t>
  </si>
  <si>
    <t>WASTAGE</t>
  </si>
  <si>
    <t>QTY WITH
WASTAGE</t>
  </si>
  <si>
    <t>UNIT</t>
  </si>
  <si>
    <t>UNIT LABOR HOURS</t>
  </si>
  <si>
    <t>TOTAL LABOR HOURS</t>
  </si>
  <si>
    <t>PER HOUR LABOR RATE</t>
  </si>
  <si>
    <t>TOTAL LABOR COST</t>
  </si>
  <si>
    <t>UNIT MATERIAL COST</t>
  </si>
  <si>
    <t>TOTAL MATERIAL COST</t>
  </si>
  <si>
    <t>ITEM COST</t>
  </si>
  <si>
    <t>TRADE COST</t>
  </si>
  <si>
    <t>UNIT ITEM COST WITH MARKUPS</t>
  </si>
  <si>
    <t>TOTAL ITEM COST WITH MARKUPS</t>
  </si>
  <si>
    <t>Estimate of Materials Quantities and Cost of Construction</t>
  </si>
  <si>
    <t>CLICK HERE TO GO BACK TO COST SUMMARY</t>
  </si>
  <si>
    <t xml:space="preserve">Sub-Total    </t>
  </si>
  <si>
    <t>Material Sales Tax</t>
  </si>
  <si>
    <t>(Adjust the percentage for Material tax as required)</t>
  </si>
  <si>
    <r>
      <t xml:space="preserve">Overhead &amp; Profit / Inflation </t>
    </r>
    <r>
      <rPr>
        <b/>
        <sz val="13"/>
        <color rgb="FFFF0000"/>
        <rFont val="Calibri"/>
        <family val="2"/>
        <scheme val="minor"/>
      </rPr>
      <t>(Material)</t>
    </r>
  </si>
  <si>
    <t>(Adjust the percentage for Overhead &amp; Profit as required)</t>
  </si>
  <si>
    <r>
      <t xml:space="preserve">Overhead &amp; Profit </t>
    </r>
    <r>
      <rPr>
        <b/>
        <sz val="13"/>
        <color rgb="FFFF0000"/>
        <rFont val="Calibri"/>
        <family val="2"/>
        <scheme val="minor"/>
      </rPr>
      <t>(Labor)</t>
    </r>
  </si>
  <si>
    <t>Project and Wage Type:</t>
  </si>
  <si>
    <t>Private (Non-Prevailing wage)</t>
  </si>
  <si>
    <t>(Adjust the percentage for Bond Fee as required)</t>
  </si>
  <si>
    <t>Total Bid</t>
  </si>
  <si>
    <t>Gross Internal Area of Structure (SF)</t>
  </si>
  <si>
    <t>Covered Area of Structure (SF)</t>
  </si>
  <si>
    <t>Material Wastage 1</t>
  </si>
  <si>
    <t xml:space="preserve"> ( for Quantities in Each &amp; LS)</t>
  </si>
  <si>
    <t>No. of Units</t>
  </si>
  <si>
    <t>Material Wastage 2</t>
  </si>
  <si>
    <t xml:space="preserve"> ( for Quantities in LF, SF, SY, CY, LBS, TONS)</t>
  </si>
  <si>
    <t>No. of Floors and Overall Height</t>
  </si>
  <si>
    <t xml:space="preserve">                                  (Changing the wastage percentage here will update the wastage for whole tab)</t>
  </si>
  <si>
    <t>Hardscaping Area (SF)</t>
  </si>
  <si>
    <t>Soft scaping Area (SF)</t>
  </si>
  <si>
    <t>To change hourly rates for any trade please go to "Hourly Rates" Tab</t>
  </si>
  <si>
    <t>UNIT COST WITH MARKUPS</t>
  </si>
  <si>
    <t>TOTAL COST WITH MARKUPS</t>
  </si>
  <si>
    <t>General</t>
  </si>
  <si>
    <t>LS</t>
  </si>
  <si>
    <t>Surveying</t>
  </si>
  <si>
    <t>Concrete Testing</t>
  </si>
  <si>
    <t>Permit Fee</t>
  </si>
  <si>
    <t>Plan Coordination</t>
  </si>
  <si>
    <t>Roof Inspection</t>
  </si>
  <si>
    <t>Tool Rentals</t>
  </si>
  <si>
    <t>Tool Shed</t>
  </si>
  <si>
    <t>Dust Control</t>
  </si>
  <si>
    <t>Ice, Water, Beverages</t>
  </si>
  <si>
    <t>Garbage Dumpster / Trash Containers</t>
  </si>
  <si>
    <t>Mobilization/Demobilization (Temporary Control &amp; Facilities)</t>
  </si>
  <si>
    <t>Job Signs</t>
  </si>
  <si>
    <t>Job Photos</t>
  </si>
  <si>
    <t xml:space="preserve">Signage  </t>
  </si>
  <si>
    <t>Misc.</t>
  </si>
  <si>
    <t>Trash</t>
  </si>
  <si>
    <t>Final Cleaning</t>
  </si>
  <si>
    <t>Punch List Items</t>
  </si>
  <si>
    <t>Bonds, Insurance, Legal</t>
  </si>
  <si>
    <t>Casualty Insurance</t>
  </si>
  <si>
    <t>Medical Insurance</t>
  </si>
  <si>
    <t>General Liability Insurance</t>
  </si>
  <si>
    <t>Project Management &amp; Supervision</t>
  </si>
  <si>
    <t/>
  </si>
  <si>
    <t>SF</t>
  </si>
  <si>
    <t>LF</t>
  </si>
  <si>
    <t>EA</t>
  </si>
  <si>
    <t>CY</t>
  </si>
  <si>
    <t>LBS</t>
  </si>
  <si>
    <t>TONS</t>
  </si>
  <si>
    <t>Power</t>
  </si>
  <si>
    <t>Receptacle</t>
  </si>
  <si>
    <t>Panels</t>
  </si>
  <si>
    <t>Excavation</t>
  </si>
  <si>
    <t>Native Backfill</t>
  </si>
  <si>
    <t>Total Lab. Hours =</t>
  </si>
  <si>
    <t>Total Lab. Cost =</t>
  </si>
  <si>
    <t>Total Mat. Cost =</t>
  </si>
  <si>
    <r>
      <t>OVERHEAD &amp; PROF</t>
    </r>
    <r>
      <rPr>
        <b/>
        <sz val="12"/>
        <rFont val="Calibri"/>
        <family val="2"/>
        <scheme val="minor"/>
      </rPr>
      <t>IT / INFLATION</t>
    </r>
    <r>
      <rPr>
        <b/>
        <sz val="12"/>
        <color rgb="FFFF0000"/>
        <rFont val="Calibri"/>
        <family val="2"/>
        <scheme val="minor"/>
      </rPr>
      <t xml:space="preserve"> (Material)</t>
    </r>
  </si>
  <si>
    <r>
      <t>OVERHEAD &amp; PROFIT</t>
    </r>
    <r>
      <rPr>
        <b/>
        <sz val="12"/>
        <color rgb="FFFF0000"/>
        <rFont val="Calibri"/>
        <family val="2"/>
        <scheme val="minor"/>
      </rPr>
      <t xml:space="preserve"> (Labor)</t>
    </r>
  </si>
  <si>
    <t>BOND FEE</t>
  </si>
  <si>
    <r>
      <rPr>
        <b/>
        <sz val="12"/>
        <color rgb="FFFF0000"/>
        <rFont val="Calibri"/>
        <family val="2"/>
        <scheme val="minor"/>
      </rPr>
      <t>Note:</t>
    </r>
    <r>
      <rPr>
        <b/>
        <sz val="12"/>
        <color theme="0" tint="-0.499984740745262"/>
        <rFont val="Calibri"/>
        <family val="2"/>
        <scheme val="minor"/>
      </rPr>
      <t xml:space="preserve"> Adjusting the per hour labor rate in the table below will automatically update the labor pricing for whole project. To bypass the per hour labor rate for a single item, please put the per hour labor rate against that item in column M of relative tab.</t>
    </r>
  </si>
  <si>
    <t>Please don’t edit anything below, without the approval of the Manager (Estimating Department)</t>
  </si>
  <si>
    <t>CSI Div.</t>
  </si>
  <si>
    <t>Sub-Contractor/Trade List</t>
  </si>
  <si>
    <t>Hourly Rates</t>
  </si>
  <si>
    <t>DIV-1</t>
  </si>
  <si>
    <t>Div-28</t>
  </si>
  <si>
    <t>DIV-34</t>
  </si>
  <si>
    <t>DIV-00</t>
  </si>
  <si>
    <t>Z</t>
  </si>
  <si>
    <t>Unit</t>
  </si>
  <si>
    <t>Wastage</t>
  </si>
  <si>
    <t>SY</t>
  </si>
  <si>
    <t>Categories</t>
  </si>
  <si>
    <t>Commercial</t>
  </si>
  <si>
    <t>Residential</t>
  </si>
  <si>
    <t>Code</t>
  </si>
  <si>
    <t>Default1</t>
  </si>
  <si>
    <t>Default2</t>
  </si>
  <si>
    <t>Default3</t>
  </si>
  <si>
    <t>Default4</t>
  </si>
  <si>
    <t>Default5</t>
  </si>
  <si>
    <t>Default6</t>
  </si>
  <si>
    <t>Default7</t>
  </si>
  <si>
    <t>Default8</t>
  </si>
  <si>
    <t>Default9</t>
  </si>
  <si>
    <t>Default10</t>
  </si>
  <si>
    <t>Default11</t>
  </si>
  <si>
    <t>Default12</t>
  </si>
  <si>
    <t>Default13</t>
  </si>
  <si>
    <t>Default14</t>
  </si>
  <si>
    <t>Default15</t>
  </si>
  <si>
    <t>Default16</t>
  </si>
  <si>
    <t>Default17</t>
  </si>
  <si>
    <t>Default18</t>
  </si>
  <si>
    <t>Default19</t>
  </si>
  <si>
    <t>Default20</t>
  </si>
  <si>
    <t>Default21</t>
  </si>
  <si>
    <t>Default22</t>
  </si>
  <si>
    <t>Default23</t>
  </si>
  <si>
    <t>Default24</t>
  </si>
  <si>
    <t>Default25</t>
  </si>
  <si>
    <t>Default26</t>
  </si>
  <si>
    <t>Default27</t>
  </si>
  <si>
    <t>Default28</t>
  </si>
  <si>
    <t>Default29</t>
  </si>
  <si>
    <t>Default30</t>
  </si>
  <si>
    <t>Default31</t>
  </si>
  <si>
    <t>Default32</t>
  </si>
  <si>
    <t>Default33</t>
  </si>
  <si>
    <t>Default34</t>
  </si>
  <si>
    <t>Default35</t>
  </si>
  <si>
    <t>Default36</t>
  </si>
  <si>
    <t>Default37</t>
  </si>
  <si>
    <t>Default38</t>
  </si>
  <si>
    <t>Default39</t>
  </si>
  <si>
    <t>Default40</t>
  </si>
  <si>
    <t>Default41</t>
  </si>
  <si>
    <t>Default42</t>
  </si>
  <si>
    <t>Default43</t>
  </si>
  <si>
    <t>Default44</t>
  </si>
  <si>
    <t>Default45</t>
  </si>
  <si>
    <t>Default46</t>
  </si>
  <si>
    <t>Default47</t>
  </si>
  <si>
    <t>Default48</t>
  </si>
  <si>
    <t>Default49</t>
  </si>
  <si>
    <t>Default50</t>
  </si>
  <si>
    <t>Default51</t>
  </si>
  <si>
    <t>Default52</t>
  </si>
  <si>
    <t>Default53</t>
  </si>
  <si>
    <t>Default54</t>
  </si>
  <si>
    <t>Default55</t>
  </si>
  <si>
    <t>Default56</t>
  </si>
  <si>
    <t>Default57</t>
  </si>
  <si>
    <t>Default58</t>
  </si>
  <si>
    <t>Default59</t>
  </si>
  <si>
    <t>Default60</t>
  </si>
  <si>
    <t>Default61</t>
  </si>
  <si>
    <t>Default62</t>
  </si>
  <si>
    <t>Default63</t>
  </si>
  <si>
    <t>Default64</t>
  </si>
  <si>
    <t>Default65</t>
  </si>
  <si>
    <t>Default66</t>
  </si>
  <si>
    <t>Default67</t>
  </si>
  <si>
    <t>Default68</t>
  </si>
  <si>
    <t>Default69</t>
  </si>
  <si>
    <t>Default70</t>
  </si>
  <si>
    <t>Default71</t>
  </si>
  <si>
    <t>Default72</t>
  </si>
  <si>
    <t>Default73</t>
  </si>
  <si>
    <t>Default74</t>
  </si>
  <si>
    <t>Default75</t>
  </si>
  <si>
    <t>Default76</t>
  </si>
  <si>
    <t>Default77</t>
  </si>
  <si>
    <t>Default78</t>
  </si>
  <si>
    <t>Default79</t>
  </si>
  <si>
    <t>Default80</t>
  </si>
  <si>
    <t>Default81</t>
  </si>
  <si>
    <t>Default82</t>
  </si>
  <si>
    <t>Default83</t>
  </si>
  <si>
    <t>Default84</t>
  </si>
  <si>
    <t>Default85</t>
  </si>
  <si>
    <t>Default86</t>
  </si>
  <si>
    <t>Default87</t>
  </si>
  <si>
    <t>Default88</t>
  </si>
  <si>
    <t>Default89</t>
  </si>
  <si>
    <t>Default90</t>
  </si>
  <si>
    <t>Default91</t>
  </si>
  <si>
    <t>Default92</t>
  </si>
  <si>
    <t>Default93</t>
  </si>
  <si>
    <t>Default94</t>
  </si>
  <si>
    <t>Default95</t>
  </si>
  <si>
    <t>Default96</t>
  </si>
  <si>
    <t>Default97</t>
  </si>
  <si>
    <t>Default98</t>
  </si>
  <si>
    <t>Default99</t>
  </si>
  <si>
    <t>Default100</t>
  </si>
  <si>
    <t>Default101</t>
  </si>
  <si>
    <t>Economy1</t>
  </si>
  <si>
    <t>Economy2</t>
  </si>
  <si>
    <t>Economy3</t>
  </si>
  <si>
    <t>Economy4</t>
  </si>
  <si>
    <t>Economy5</t>
  </si>
  <si>
    <t>Economy6</t>
  </si>
  <si>
    <t>Economy7</t>
  </si>
  <si>
    <t>Economy8</t>
  </si>
  <si>
    <t>Average1</t>
  </si>
  <si>
    <t>Average2</t>
  </si>
  <si>
    <t>Average3</t>
  </si>
  <si>
    <t>Average4</t>
  </si>
  <si>
    <t>Average5</t>
  </si>
  <si>
    <t>Average6</t>
  </si>
  <si>
    <t>Average7</t>
  </si>
  <si>
    <t>Average8</t>
  </si>
  <si>
    <t>Average9</t>
  </si>
  <si>
    <t>Average10</t>
  </si>
  <si>
    <t>Average11</t>
  </si>
  <si>
    <t>Average12</t>
  </si>
  <si>
    <t>Custom1</t>
  </si>
  <si>
    <t>Custom2</t>
  </si>
  <si>
    <t>Custom3</t>
  </si>
  <si>
    <t>Custom4</t>
  </si>
  <si>
    <t>Custom5</t>
  </si>
  <si>
    <t>Custom6</t>
  </si>
  <si>
    <t>Custom7</t>
  </si>
  <si>
    <t>Custom8</t>
  </si>
  <si>
    <t>Custom9</t>
  </si>
  <si>
    <t>Custom10</t>
  </si>
  <si>
    <t>Luxury1</t>
  </si>
  <si>
    <t>Luxury2</t>
  </si>
  <si>
    <t>Luxury3</t>
  </si>
  <si>
    <t>Luxury4</t>
  </si>
  <si>
    <t>Luxury5</t>
  </si>
  <si>
    <t>Luxury6</t>
  </si>
  <si>
    <t>Luxury7</t>
  </si>
  <si>
    <t>Luxury8</t>
  </si>
  <si>
    <t>Luxury9</t>
  </si>
  <si>
    <t>Luxury10</t>
  </si>
  <si>
    <t>Default</t>
  </si>
  <si>
    <t>Economy</t>
  </si>
  <si>
    <t>Apartment 1-3 Story</t>
  </si>
  <si>
    <t>Brick Veneer/Reinforced Concrete</t>
  </si>
  <si>
    <t xml:space="preserve">Brick Veneer &amp; Concrete Block / Bearing Walls </t>
  </si>
  <si>
    <t>Concrete Block/Bearing Walls</t>
  </si>
  <si>
    <t>Face Brick &amp; Concrete Block/Reinforced Concrete</t>
  </si>
  <si>
    <t xml:space="preserve">Concrete Block/Steel Roof Deck </t>
  </si>
  <si>
    <t>Decorative Concrete Block/Bearing walls</t>
  </si>
  <si>
    <t>Decorative Concrete Block/Steel Truss</t>
  </si>
  <si>
    <t>Brick Veneer/Wood Frame</t>
  </si>
  <si>
    <t>Decorative Concrete Block/Steel Joist</t>
  </si>
  <si>
    <t>Decorative Concrete Block/Reinforced Concrete</t>
  </si>
  <si>
    <t>Brick Veneer/ Rigid Steel</t>
  </si>
  <si>
    <t>Brick Veneer/ Reinforeced Concrete</t>
  </si>
  <si>
    <t>Brick Veneer/wood Frame</t>
  </si>
  <si>
    <t>Concrete Block/Bearing Wall</t>
  </si>
  <si>
    <t>Face Brick &amp; Common Brick/Reinforced Concrete</t>
  </si>
  <si>
    <t>Decorative Concrete Block/Precast Concrete</t>
  </si>
  <si>
    <t>Aluminum Clapboard/Wood Frame</t>
  </si>
  <si>
    <t>E.I.F.S. &amp; Concrete Block/Rigid Steel</t>
  </si>
  <si>
    <t>Cast in Place Concrete/Reinforced Concrete</t>
  </si>
  <si>
    <t>Cast in Place Concrete/Steel Joists</t>
  </si>
  <si>
    <t>Cast in Place Concrete/Rigid Steel</t>
  </si>
  <si>
    <t>Brick Veneer/Wood Truss</t>
  </si>
  <si>
    <t>Conrete Block/Steel Joists</t>
  </si>
  <si>
    <t>Face Brick &amp; Concrete Block/Bearing walls</t>
  </si>
  <si>
    <t>Curtain Wall/Reinforced Conrete</t>
  </si>
  <si>
    <t>Brick Veneer/Rigid Steel</t>
  </si>
  <si>
    <t>Aluminum Clapboard/Wood Truss</t>
  </si>
  <si>
    <t>Face Brick &amp; Concrete Block/Steel Joists</t>
  </si>
  <si>
    <t>E.I.F.S./Reinforced Concrete</t>
  </si>
  <si>
    <t>Fiber Cement/Rigid Steel</t>
  </si>
  <si>
    <t>Face Brick/Wood Frame</t>
  </si>
  <si>
    <t xml:space="preserve">Face Brick &amp; Concrete Block/Bearing Walls </t>
  </si>
  <si>
    <t>Concrete Block/Precast Concrete</t>
  </si>
  <si>
    <t>Concrete Block/Reinforced Concrete</t>
  </si>
  <si>
    <t>Brick Veneer - Wood Frame</t>
  </si>
  <si>
    <t>6" Log - Solid Wall</t>
  </si>
  <si>
    <t>Average</t>
  </si>
  <si>
    <t>Apartment 4-7 Story</t>
  </si>
  <si>
    <t>Brick Veneer &amp; Concrete Block / Wood Truss</t>
  </si>
  <si>
    <t>Concrete Block/Rigid Steel</t>
  </si>
  <si>
    <t>Face Brick &amp; Concrete Block/Rigid Steel</t>
  </si>
  <si>
    <t xml:space="preserve">Decorative Concrete Block/Steel Roof Deck </t>
  </si>
  <si>
    <t>Decorative Concrete Block/Rigid Steel</t>
  </si>
  <si>
    <t>Decorative Concrete Block/Wood Arch</t>
  </si>
  <si>
    <t>Stone Ashlar &amp; Cocnrete block/Steel Joist</t>
  </si>
  <si>
    <t>Decorative Concrete Block/Wood Joist</t>
  </si>
  <si>
    <t xml:space="preserve">Brick Veneer/Rigid Steel </t>
  </si>
  <si>
    <t>Brick Veneer/ Reinforced Concrete</t>
  </si>
  <si>
    <t>Curtain Wall/Rigid steel</t>
  </si>
  <si>
    <t>Face Brick &amp; Common Brick/Rigid Steel</t>
  </si>
  <si>
    <t>Decorative Concrete Block/Steel Joists</t>
  </si>
  <si>
    <t>Decorative Concrete Block/Wood Joists</t>
  </si>
  <si>
    <t>Cast in Place Concrete/Wood Joists</t>
  </si>
  <si>
    <t xml:space="preserve">Decorative Concrete Block/Rigid Steel </t>
  </si>
  <si>
    <t>E.I.F.S./Rigid Steel</t>
  </si>
  <si>
    <t>E.I.F.S. &amp; Metal Studs/Steel Roof Deck</t>
  </si>
  <si>
    <t>Curtain Wall/Rigid Steel</t>
  </si>
  <si>
    <t>Metal Panel &amp; Wood Studs/Wood Truss</t>
  </si>
  <si>
    <t>Face Brick &amp; Concrete Block/Wood Joists</t>
  </si>
  <si>
    <t>Stone Veneer/Rigid Steel</t>
  </si>
  <si>
    <t xml:space="preserve">E.I.F.S./Rigid Steel </t>
  </si>
  <si>
    <t>Metal Sandwich Panel/Rigid Steel</t>
  </si>
  <si>
    <t>E.I.F.S. &amp; Metal Studs/Steel Joists</t>
  </si>
  <si>
    <t>Concrete Block/Wood Frame</t>
  </si>
  <si>
    <t>E.I.F.S./Wood Frame</t>
  </si>
  <si>
    <t>E.I.F.S./Steel Joists</t>
  </si>
  <si>
    <t>Painted Concrete Block</t>
  </si>
  <si>
    <t>Solid Masonry</t>
  </si>
  <si>
    <t>8" Log - Solid Wall</t>
  </si>
  <si>
    <t>Solid Brick</t>
  </si>
  <si>
    <t xml:space="preserve">Solid Brick </t>
  </si>
  <si>
    <t>Custom</t>
  </si>
  <si>
    <t>Apartment 8-24 Story</t>
  </si>
  <si>
    <t>E.I.F.S. &amp; Metal studs/Rigid Steel</t>
  </si>
  <si>
    <t xml:space="preserve">Cuttain Wall/Rigid Steel </t>
  </si>
  <si>
    <t>Brick Veneer / Rigid Steel</t>
  </si>
  <si>
    <t>Decorative Concrete Block/Bearing Walls</t>
  </si>
  <si>
    <t>Limestone &amp; Concrete Block/Reinforced Concrete</t>
  </si>
  <si>
    <t xml:space="preserve">Face Brick &amp; Concrete Block/Steel Roof Deck </t>
  </si>
  <si>
    <t>Face Brick &amp; Concrete Block/Steel Truss</t>
  </si>
  <si>
    <t>Stone Ashlar &amp; Cocnrete block/Wood Truss</t>
  </si>
  <si>
    <t>Face Brick &amp; Concrete Block/Steel Joist</t>
  </si>
  <si>
    <t>Cutain Wall/Rigid Steel</t>
  </si>
  <si>
    <t>Curtain wall/ Rigid Steel</t>
  </si>
  <si>
    <t>Face Brick &amp; Concrete Block/Precast Concrete</t>
  </si>
  <si>
    <t>Face Brick &amp; Concrete Block/Wood Truss</t>
  </si>
  <si>
    <t>Concrete Block/Steel Joists</t>
  </si>
  <si>
    <t>Concrete Block/Wood Arch</t>
  </si>
  <si>
    <t>Metal Panel/Rigid Steel</t>
  </si>
  <si>
    <t>Conrete Block/Wood Truss</t>
  </si>
  <si>
    <t>Precast Concrete/Bearing walls</t>
  </si>
  <si>
    <t>Face Brick &amp; Concrete Block/Steel Roof Deck</t>
  </si>
  <si>
    <t>Plywood Siding/Wood Truss</t>
  </si>
  <si>
    <t>Limestone &amp; Concrete Block/Steel Joists</t>
  </si>
  <si>
    <t>Stucco/Reinforced Concrete</t>
  </si>
  <si>
    <t>Precast Concrete/Rigid Steel</t>
  </si>
  <si>
    <t>Face Brick &amp; Metal Studs/Reinforced Concrete</t>
  </si>
  <si>
    <t>Fiber Cement/Wood Frame</t>
  </si>
  <si>
    <t>E.I.F.S./Wood Truss</t>
  </si>
  <si>
    <t>Stucco on Wood Frame</t>
  </si>
  <si>
    <t>Stone Veneer - Wood Frame</t>
  </si>
  <si>
    <t>Solid Stone</t>
  </si>
  <si>
    <t xml:space="preserve">Solid Stone </t>
  </si>
  <si>
    <t>Luxury</t>
  </si>
  <si>
    <t xml:space="preserve">Assisted - Senior Living </t>
  </si>
  <si>
    <t>Brick Veneer / Wood Frame</t>
  </si>
  <si>
    <t>Face Brick &amp; Concrete Block/Bearing Walls</t>
  </si>
  <si>
    <t>Limestone &amp; Concrete Block/Rigid Steel</t>
  </si>
  <si>
    <t xml:space="preserve">Jumbo Brick &amp; Concrete Block/Steel Roof Deck </t>
  </si>
  <si>
    <t>Face Brick &amp; Concrete Block/Rigid Wood Arch</t>
  </si>
  <si>
    <t>Stucco &amp; Cocnrete Block/Steel Joist</t>
  </si>
  <si>
    <t>Face Brick &amp; Concrete Block/Wood Joist</t>
  </si>
  <si>
    <t xml:space="preserve">Fiber Cement/ Rigid Steel </t>
  </si>
  <si>
    <t>Stucco &amp; Concrete Block/Wood Truss</t>
  </si>
  <si>
    <t xml:space="preserve">Metal Panel/Rigid Steel </t>
  </si>
  <si>
    <t>Stucco &amp; Concrete Block/Bearing walls</t>
  </si>
  <si>
    <t>Limestone &amp; Concrete Block/Wood Truss</t>
  </si>
  <si>
    <t>Concrete Block/Wood Joists</t>
  </si>
  <si>
    <t>Face Brick &amp; Glazed Block/Steel Joists</t>
  </si>
  <si>
    <t>Reinforced Concrete/Reinforced Concrete</t>
  </si>
  <si>
    <t>Precast Concrete/Reinforced Concrete</t>
  </si>
  <si>
    <t>Stucco &amp; Concrete Block/Steel Joists</t>
  </si>
  <si>
    <t>Precast Concrete/Wood Truss</t>
  </si>
  <si>
    <t>Stucco &amp; Concrete Block/Precast Concrete</t>
  </si>
  <si>
    <t>Metal Sandwich Panel/Steel Joists</t>
  </si>
  <si>
    <t xml:space="preserve">Precast Concrete/Rigid Steel </t>
  </si>
  <si>
    <t>Wood Clapboard/Wood Truss</t>
  </si>
  <si>
    <t>Limestone &amp; Concrete Block/Wood Joists</t>
  </si>
  <si>
    <t>Wood Clapboard/Wood Frame</t>
  </si>
  <si>
    <t xml:space="preserve">Stucco &amp; Concrete Block/Bearing Walls </t>
  </si>
  <si>
    <t>Face Brick &amp; Metal Studs/Rigid Steel</t>
  </si>
  <si>
    <t xml:space="preserve">Pre-Engineered Metal Building/Rigid Steel </t>
  </si>
  <si>
    <t>Wood Siding - Wood Frame</t>
  </si>
  <si>
    <t>Auditurium</t>
  </si>
  <si>
    <t>Stone Veneer / Wood Frame</t>
  </si>
  <si>
    <t>Vinyl Clapboard / Wood Frame</t>
  </si>
  <si>
    <t>Precast Concrete / Reinforced Concrete</t>
  </si>
  <si>
    <t xml:space="preserve">Precast Concrete/Steel Roof Deck </t>
  </si>
  <si>
    <t>Stone &amp; Concrete Block/Steel Truss</t>
  </si>
  <si>
    <t>Stucco &amp; Cocnrete Block/Wood Truss</t>
  </si>
  <si>
    <t>Stone Veneer/Reinforced Concrete</t>
  </si>
  <si>
    <t>Precast Concrete/Precast Concrete</t>
  </si>
  <si>
    <t>Tilt-up Concrete Panels/Bearing walls</t>
  </si>
  <si>
    <t>Metal Panel / Reinforced Concrete</t>
  </si>
  <si>
    <t>Stone &amp; Concrete Block/ Reinforced Concrete</t>
  </si>
  <si>
    <t>Tilt-up Concrete Panels/Steel Joists</t>
  </si>
  <si>
    <t>Stucco &amp; Concrete Block/Reinforced Concrete</t>
  </si>
  <si>
    <t>Limestone &amp; Concrete Block/Bearing walls</t>
  </si>
  <si>
    <t>Limestone &amp; Concrete Block/Precast Concrete</t>
  </si>
  <si>
    <t>Wood Board and Batten/Wood Frame</t>
  </si>
  <si>
    <t>Stucco &amp; Concrete Block/Rigid Steel</t>
  </si>
  <si>
    <t>Precast Concrete / Precast Concrete</t>
  </si>
  <si>
    <t>Face Brick &amp; Concrete Block/Wood Arch</t>
  </si>
  <si>
    <t>Precast Concrete/Bearing Walls</t>
  </si>
  <si>
    <t>Metal Panel/Reinforced Concrete</t>
  </si>
  <si>
    <t>Stone Veneer/Wood Frame</t>
  </si>
  <si>
    <t>Stucco &amp; Concrete Block/Wood Joists</t>
  </si>
  <si>
    <t>Precast Concrete/Steel Joists</t>
  </si>
  <si>
    <t>Tilt-up  Concrete Panels/Steel Roof Deck</t>
  </si>
  <si>
    <t>Limestone &amp; Concrete Block/Bearing Walls</t>
  </si>
  <si>
    <t>Metal Panel &amp; Metal Studs/Rigid Steel</t>
  </si>
  <si>
    <t>Metal Sandwich Panel/Wood Truss</t>
  </si>
  <si>
    <t>Stone &amp; Concrete Block/Steel Joists</t>
  </si>
  <si>
    <t>Stone &amp; Concrete Block/Reinforced Concrete</t>
  </si>
  <si>
    <t>Bank</t>
  </si>
  <si>
    <t>Stucco &amp; Concrete Block/Reinforced concrete</t>
  </si>
  <si>
    <t>Stucco/Reinforced concrete</t>
  </si>
  <si>
    <t>Wood ClapBoard / Wood Frame</t>
  </si>
  <si>
    <t xml:space="preserve">Precast Concrete / Rigid steel </t>
  </si>
  <si>
    <t xml:space="preserve">Stucco &amp; Concrete Block/Steel Roof Deck </t>
  </si>
  <si>
    <t>Stone &amp; Concrete Block/Rigid Wood Arch</t>
  </si>
  <si>
    <t>Wood Shingles/wood Frame</t>
  </si>
  <si>
    <t>Tilt-up Concrete Panels/Rigid Steel</t>
  </si>
  <si>
    <t>Stone Veneer/ Wood Frame</t>
  </si>
  <si>
    <t xml:space="preserve">Stone &amp; Concrete Block/ Rigid steel </t>
  </si>
  <si>
    <t>Wood Clapboard/Wood Frame.</t>
  </si>
  <si>
    <t xml:space="preserve">Tilt-up Concrete Panels/Rigid Steel </t>
  </si>
  <si>
    <t>Stucco/Wood Frame</t>
  </si>
  <si>
    <t>Vinyl Clapboard/Wood Frame</t>
  </si>
  <si>
    <t>Wood Shingles/Wood Frame</t>
  </si>
  <si>
    <t>Tilt-up  Concrete Panels/Rigid Steel</t>
  </si>
  <si>
    <t>Tilt-up Concrete Panels/Reinforced Concrete</t>
  </si>
  <si>
    <t>Stone &amp; Concrete Block/Wood Joists</t>
  </si>
  <si>
    <t>Stone &amp; Concrete Block/Rigid Steel</t>
  </si>
  <si>
    <t>Bank (Green)</t>
  </si>
  <si>
    <t>Bowling Alley</t>
  </si>
  <si>
    <t xml:space="preserve">Bus Terminal </t>
  </si>
  <si>
    <t xml:space="preserve">Car Wash </t>
  </si>
  <si>
    <t>Church</t>
  </si>
  <si>
    <t>Club, Country</t>
  </si>
  <si>
    <t>Cub, Social</t>
  </si>
  <si>
    <t>College, Classroom, 2-3 Story</t>
  </si>
  <si>
    <t>College, Dormitory, 2-3Story</t>
  </si>
  <si>
    <t>College, Classroom, 2-3 Story (Green)</t>
  </si>
  <si>
    <t>College, Dormitory, 2-3Story (Green)</t>
  </si>
  <si>
    <t>College, Dormitory, 4-8Story (Green)</t>
  </si>
  <si>
    <t>College, Dormitory, 4-8Story</t>
  </si>
  <si>
    <t>College, Laboratory</t>
  </si>
  <si>
    <t>College, Laboratory (Green)</t>
  </si>
  <si>
    <t>College, Student Union</t>
  </si>
  <si>
    <t>Community Center</t>
  </si>
  <si>
    <t>Computer Data Center</t>
  </si>
  <si>
    <t>Courthouse, 1 story</t>
  </si>
  <si>
    <t>Courthouse, 2-3story</t>
  </si>
  <si>
    <t>Day care center</t>
  </si>
  <si>
    <t>Factory, 1 Story</t>
  </si>
  <si>
    <t>Factory, 3 Story</t>
  </si>
  <si>
    <t>Fire Station Story 1</t>
  </si>
  <si>
    <t>Fire Station Story 1 (Green)</t>
  </si>
  <si>
    <t>Fire Station Story 2</t>
  </si>
  <si>
    <t>Fire Station Story 2 (Green)</t>
  </si>
  <si>
    <t>Fraternity/Sorority House</t>
  </si>
  <si>
    <t>Funeral Home</t>
  </si>
  <si>
    <t>Funeral Home (Green)</t>
  </si>
  <si>
    <t>Garage, Auto Sales</t>
  </si>
  <si>
    <t>Garage, Parking</t>
  </si>
  <si>
    <t>Garage, Repair</t>
  </si>
  <si>
    <t>Garage,Service Station</t>
  </si>
  <si>
    <t>Garage, Underground Parking</t>
  </si>
  <si>
    <t>Gymnasium</t>
  </si>
  <si>
    <t>Hangar, Aircraft</t>
  </si>
  <si>
    <t>Hospital 2-3 Story</t>
  </si>
  <si>
    <t>Hospital 4-8 Story</t>
  </si>
  <si>
    <t>Hotel, 4-7 Story</t>
  </si>
  <si>
    <t>Hotel, 8-24 Story</t>
  </si>
  <si>
    <t>Jail</t>
  </si>
  <si>
    <t>Laundromant</t>
  </si>
  <si>
    <t>Library</t>
  </si>
  <si>
    <t>Library (Green)</t>
  </si>
  <si>
    <t>Medical Office, 1 Story</t>
  </si>
  <si>
    <t>Medical Office, 1 Story (Green)</t>
  </si>
  <si>
    <t>Medical Office, 2 Story</t>
  </si>
  <si>
    <t>Medical Office, 2 Story (Green)</t>
  </si>
  <si>
    <t>Motel, 1 Story</t>
  </si>
  <si>
    <t>Motel, 1 Story (Green)</t>
  </si>
  <si>
    <t>Motel, 2-3 Story</t>
  </si>
  <si>
    <t>Motel, 2-3 Story (Green)</t>
  </si>
  <si>
    <t>Movie Theater</t>
  </si>
  <si>
    <t>Nursing Home</t>
  </si>
  <si>
    <t>Office, 1 Story</t>
  </si>
  <si>
    <t>Office, 1 Story (Green)</t>
  </si>
  <si>
    <t>Office, 11-20 Story</t>
  </si>
  <si>
    <t>Office, 11-20 Story (Green)</t>
  </si>
  <si>
    <t>Office, 2-4 Story</t>
  </si>
  <si>
    <t>Office, 2-4 Story (Green)</t>
  </si>
  <si>
    <t>Office, 5-10 Story</t>
  </si>
  <si>
    <t>Office, 5-10 Story (Green)</t>
  </si>
  <si>
    <t>Outpatient Surgery Center</t>
  </si>
  <si>
    <t>Police Station</t>
  </si>
  <si>
    <t>Police Station (Green)</t>
  </si>
  <si>
    <t xml:space="preserve">Post Frame Barn </t>
  </si>
  <si>
    <t>Post Office</t>
  </si>
  <si>
    <t>Racquetball court</t>
  </si>
  <si>
    <t>Religious Education</t>
  </si>
  <si>
    <t>Resturant</t>
  </si>
  <si>
    <t>Resturant (Green)</t>
  </si>
  <si>
    <t xml:space="preserve">Resturant, Fast Food </t>
  </si>
  <si>
    <t>School, Elementary</t>
  </si>
  <si>
    <t>School, Elementary (Green)</t>
  </si>
  <si>
    <t>School, High 2-3 Story</t>
  </si>
  <si>
    <t>School, High 2-3 Story (Green)</t>
  </si>
  <si>
    <t>School, Jr High, 2-3 Story</t>
  </si>
  <si>
    <t>School, Jr High, 2-3 Story (Green)</t>
  </si>
  <si>
    <t>School, Vocational</t>
  </si>
  <si>
    <t>School, Vocational (Green)</t>
  </si>
  <si>
    <t>Store, Convenience</t>
  </si>
  <si>
    <t>Store Department, 1 Story</t>
  </si>
  <si>
    <t>Store Department, 3 Story</t>
  </si>
  <si>
    <t>Store, Retail</t>
  </si>
  <si>
    <t>Supermarket</t>
  </si>
  <si>
    <t>Supermarket (Green)</t>
  </si>
  <si>
    <t>Swimming Pool, Enclosed</t>
  </si>
  <si>
    <t>Telephone Exchange</t>
  </si>
  <si>
    <t>Town Hall, 1 Story</t>
  </si>
  <si>
    <t>Town Hall, 2-3 Story</t>
  </si>
  <si>
    <t>Veterinary Hospital</t>
  </si>
  <si>
    <t>Warehouse</t>
  </si>
  <si>
    <t>Warehouse (Green)</t>
  </si>
  <si>
    <t>Warehouse Self Storage</t>
  </si>
  <si>
    <t>Economy 1 Story</t>
  </si>
  <si>
    <t>Economy 1 Story wings &amp; ells</t>
  </si>
  <si>
    <t>Economy 1 - 1/2 Story</t>
  </si>
  <si>
    <t>Economy 1 - 1/2 Story wings &amp; ells</t>
  </si>
  <si>
    <t>Economy 2 Story</t>
  </si>
  <si>
    <t>Economy 2 Story wings &amp; ells</t>
  </si>
  <si>
    <t>Economy Bi level</t>
  </si>
  <si>
    <t>Economy Tri level</t>
  </si>
  <si>
    <t>Average Story 1</t>
  </si>
  <si>
    <t>Average 1 Story wings &amp; ells</t>
  </si>
  <si>
    <t>Average 1 - 1/2 Story</t>
  </si>
  <si>
    <t>Average 1 - 1/2 Story wings &amp; ells</t>
  </si>
  <si>
    <t>Average 2 Story</t>
  </si>
  <si>
    <t>Average 2 Story wings &amp; ells</t>
  </si>
  <si>
    <t>Average 2 - 1/2 Story</t>
  </si>
  <si>
    <t>Average 3 Story</t>
  </si>
  <si>
    <t>Average Bi level</t>
  </si>
  <si>
    <t>Average Tri level</t>
  </si>
  <si>
    <t>Solid Wall 1 Story</t>
  </si>
  <si>
    <t>Solid Wall 2 Story</t>
  </si>
  <si>
    <t>Custom Story 1</t>
  </si>
  <si>
    <t>Custom 1 Story wings &amp; ells</t>
  </si>
  <si>
    <t>Custom 1 - 1/2 Story</t>
  </si>
  <si>
    <t>Custom 1 - 1/2 Story wings &amp; ells</t>
  </si>
  <si>
    <t>Custom 2 Story</t>
  </si>
  <si>
    <t>Custom 2 Story wings &amp; ells</t>
  </si>
  <si>
    <t>Custom 2 - 1/2 Story</t>
  </si>
  <si>
    <t>Custom 3 Story</t>
  </si>
  <si>
    <t>Custom Bi level</t>
  </si>
  <si>
    <t>Custom Tri level</t>
  </si>
  <si>
    <t>Luxury Story 1</t>
  </si>
  <si>
    <t>Luxury 1 Story wings &amp; ells</t>
  </si>
  <si>
    <t>Luxury 1 - 1/2 Story</t>
  </si>
  <si>
    <t>Luxury 1 - 1/2 Story wings &amp; ells</t>
  </si>
  <si>
    <t>Luxury 2 Story</t>
  </si>
  <si>
    <t>Luxury 2 Story wings &amp; ells</t>
  </si>
  <si>
    <t>Luxury 2 - 1/2 Story</t>
  </si>
  <si>
    <t>Luxury 3 Story</t>
  </si>
  <si>
    <t>Luxury Bi level</t>
  </si>
  <si>
    <t>Luxury Tri level</t>
  </si>
  <si>
    <t>#8 To #10 X 7/8 Plas Anchor (3/16)</t>
  </si>
  <si>
    <t>#10 X 1 P/H Self-Tap Screw</t>
  </si>
  <si>
    <t>3/4" Conn Ss Stl - Emt</t>
  </si>
  <si>
    <t>3/4" Coupling Ss Stl - Emt</t>
  </si>
  <si>
    <t>3/4" 1-H Strap - Emt - Steel</t>
  </si>
  <si>
    <t>Breaker</t>
  </si>
  <si>
    <t>60A/3P Circuit Breaker</t>
  </si>
  <si>
    <t>20A/1P Circuit Breaker</t>
  </si>
  <si>
    <t>Distribution</t>
  </si>
  <si>
    <t>Disconnect Switch</t>
  </si>
  <si>
    <t>1-1/2" Conn Ss Stl - Emt</t>
  </si>
  <si>
    <t>1-1/2" Coupling Ss Stl - Emt</t>
  </si>
  <si>
    <t>1-1/2" 1-H Strap - Emt - Steel</t>
  </si>
  <si>
    <t>Security System</t>
  </si>
  <si>
    <t>Grounding Detail</t>
  </si>
  <si>
    <t>Site Lighting Fixtures</t>
  </si>
  <si>
    <t>Switch</t>
  </si>
  <si>
    <t>Seismic Safety Chain Or Cord</t>
  </si>
  <si>
    <t>Junction Box</t>
  </si>
  <si>
    <t>Site Wiring &amp; Conduits Lighting</t>
  </si>
  <si>
    <t>Data Cord Reel Outlets</t>
  </si>
  <si>
    <t>350A/3P Lsi Circuit Breaker</t>
  </si>
  <si>
    <t>Digital Multimeter</t>
  </si>
  <si>
    <t>Ground Bus Bar</t>
  </si>
  <si>
    <t>Neutral Bus Bar</t>
  </si>
  <si>
    <t>Ground Ring</t>
  </si>
  <si>
    <t>Ufer</t>
  </si>
  <si>
    <t>#6 Bare Copper</t>
  </si>
  <si>
    <t>#1/0 Bare Copper Wire</t>
  </si>
  <si>
    <t xml:space="preserve">Ds-Bd: 200A/3P Disconnect Switch, 200A Fuse, Nema 3R, Uni-Strut Structural Steel Support </t>
  </si>
  <si>
    <t xml:space="preserve">Transformer </t>
  </si>
  <si>
    <t>Outlet Box With Twist-Lock Receptacle And Cord Reel Connector</t>
  </si>
  <si>
    <t>Duct Bank</t>
  </si>
  <si>
    <t>Plan Design And Permitting</t>
  </si>
  <si>
    <t>Architecture (Assumed By Owner)</t>
  </si>
  <si>
    <t>Engineering  (Assumed By Owner)</t>
  </si>
  <si>
    <t>Soils Report  (Assumed By Owner)</t>
  </si>
  <si>
    <t>Geological Report  (Assumed By Owner)</t>
  </si>
  <si>
    <t>Permits (Based On Interior Finish Area)</t>
  </si>
  <si>
    <t xml:space="preserve">Blueprints (?? Pages) </t>
  </si>
  <si>
    <t>Utilities During Construction (Based On Interior Finish Area)</t>
  </si>
  <si>
    <t>Port-O-Potty (Based On Interior Finish Area)</t>
  </si>
  <si>
    <t>Temporary Power (Based On Interior Finish Area)</t>
  </si>
  <si>
    <t>Equipment And Tools</t>
  </si>
  <si>
    <t>Signage And Promotion</t>
  </si>
  <si>
    <t>Promotion/Entertainment</t>
  </si>
  <si>
    <t>Cleaning And Final</t>
  </si>
  <si>
    <t>Window Washing (Rough # Of Windows )</t>
  </si>
  <si>
    <t>Ev Charge</t>
  </si>
  <si>
    <t>Digital Multimeters, Sel #735</t>
  </si>
  <si>
    <t>Spd: Surge Protective Devise</t>
  </si>
  <si>
    <t>1-1/2"  Emt Conduit</t>
  </si>
  <si>
    <t>3/4" Emt Conduit</t>
  </si>
  <si>
    <t>Electronic Safety And Security</t>
  </si>
  <si>
    <t>Excavation For Below Grade Conduit</t>
  </si>
  <si>
    <t>Backfill For Below Grade  Conduit</t>
  </si>
  <si>
    <t>ELECTRICAL</t>
  </si>
  <si>
    <t>Demolition</t>
  </si>
  <si>
    <t>Electrical  Demolition</t>
  </si>
  <si>
    <t>DALLAS EV CHARGING</t>
  </si>
  <si>
    <t>3#8 CU THWN</t>
  </si>
  <si>
    <t>1-1/2" RGS Conduit</t>
  </si>
  <si>
    <t>1-1/2" PVC Conduit</t>
  </si>
  <si>
    <t>3#10 CU THWN</t>
  </si>
  <si>
    <t>3#12 CU THWN</t>
  </si>
  <si>
    <t>4#12 CU THWN</t>
  </si>
  <si>
    <t>3/4" PVC  Conduit</t>
  </si>
  <si>
    <t>3/4" RGS  Conduit</t>
  </si>
  <si>
    <t>1" PVC Conduit, With Pull Strings</t>
  </si>
  <si>
    <t>1" RGS Conduit, With Pull Strings</t>
  </si>
  <si>
    <t>1-1/2" Emt Conduit</t>
  </si>
  <si>
    <t>Site Wiring &amp; Conduits Power</t>
  </si>
  <si>
    <t xml:space="preserve"> Site Feeder Wiring &amp; Conduits </t>
  </si>
  <si>
    <t xml:space="preserve">3#1, #6, #2, #2 CU THWN </t>
  </si>
  <si>
    <t xml:space="preserve">3#4, #8, #4, #2 CU THWN </t>
  </si>
  <si>
    <t>3#4, #8, #4, #2 CU THWN , 1-1/2" PVC Conduit</t>
  </si>
  <si>
    <t xml:space="preserve">4#250, #1/0, #4/0, #3/0 AL THWN </t>
  </si>
  <si>
    <t>4#250, #4, #1/0, #2 AL THWN</t>
  </si>
  <si>
    <t>4#500, #3/0, #300, #3/0 AL THWN</t>
  </si>
  <si>
    <t>4#750, #800, #750, #750 AL THWN</t>
  </si>
  <si>
    <t>2-1/2" PVC Conduit</t>
  </si>
  <si>
    <t>3" PVC Conduit</t>
  </si>
  <si>
    <t>3" RGS Conduit</t>
  </si>
  <si>
    <t>4" PVC Conduit</t>
  </si>
  <si>
    <t>4" RGS Conduit</t>
  </si>
  <si>
    <t>1" PVC Conduit, With Pull String</t>
  </si>
  <si>
    <t>1" RGS Conduit, With Pull String</t>
  </si>
  <si>
    <t xml:space="preserve"> Site Primary Conduits </t>
  </si>
  <si>
    <t>4" PVC SCH. 80 Conduit, With Pull String</t>
  </si>
  <si>
    <t>4" RGS Conduit, With Pull String</t>
  </si>
  <si>
    <t xml:space="preserve"> Site EV Charging Wiring &amp; Conduits </t>
  </si>
  <si>
    <t>2-1/2" RGS Conduit</t>
  </si>
  <si>
    <t>AC2: 4#12 CU THWN, 1" PVC Conduit, 600V Cabling
DC: (4SETS) 2#500, #500 (G), 4" PVC Conduit AMW 3650 1.5KV
CM1: Owner Furnished Contractor Intalled Cable In 1" PVC Conduit</t>
  </si>
  <si>
    <t>AC2: 4#12 CU THWN, 1" RGS Conduit, 600V Cabling
DC: (4SETS) 2#500, #500 (G), 4" RGS Conduit AMW 3650 1.5KV
CM1: Owner Furnished Contractor Intalled Cable In 1" RGS Conduit</t>
  </si>
  <si>
    <t>3#500,#1/0. #4/0, 3/0 CU THWN</t>
  </si>
  <si>
    <t>4" PVC Conduit, With Pull Strings</t>
  </si>
  <si>
    <t>Low Voltage Conduit</t>
  </si>
  <si>
    <t>4" RGS Conduit, With Pull Strings</t>
  </si>
  <si>
    <t>Seurity System Conduit</t>
  </si>
  <si>
    <t>1-1/2" PVC Conduit, With Pull Strings</t>
  </si>
  <si>
    <t>1-1/2" RGS Conduit, With Pull Strings</t>
  </si>
  <si>
    <t>Existing Site Pole Lights To Be Removed (1 Light)</t>
  </si>
  <si>
    <t>Existing Site Pole Lights To Be Removed (2 Light)</t>
  </si>
  <si>
    <t>Protect &amp; Maintain Existing Electrical Equipment</t>
  </si>
  <si>
    <t>PC1: Parking Canopy Fixture
Manufacturer: U.S. Architectural Lighting
Mounting: Surface
Finish: SCBA
Optics: High Performance Lens
Size: 19"x19"x8.75"</t>
  </si>
  <si>
    <t>ZX1: Parking Lot Pole Light, Single Head
Manufacturer: Lithonia (DSx2)
Finish: Flat Black
Optics: T4M Distribution
Size: Length: 40.1", Width: 16.5",Depth: 5.6" Pole, Height Pole: 15'</t>
  </si>
  <si>
    <t>ZX1R: Parking Lot Pole Light, Single Head
Manufacturer: Lithonia (DSx2)
Finish: Black
Optics: Rcco Distribution
Size: Length: 40.1", Width: 16.5",Depth: 5.6" Pole, Height Pole: 15'</t>
  </si>
  <si>
    <t>ZX-4D: Shoe-Box Style, Cutoff Dual Head
Manufacturer: Gardco (GL-18-24-200LA-CW-UNV--SCBA)
Finish: SCBA
Optics: Type III Distribution
Size: Length: 32", Width: 18",Depth: 7" Pole, Height Pole: 27'</t>
  </si>
  <si>
    <t>Pole Light Details</t>
  </si>
  <si>
    <t>3/4" Dia x 8'-0" Copper Rod</t>
  </si>
  <si>
    <t>14" Dia Pole Bsae Plate</t>
  </si>
  <si>
    <t>In Line Fusewith Fuse Holder</t>
  </si>
  <si>
    <t>HandHole Cover</t>
  </si>
  <si>
    <t>GFCI Quadraplex Receptacle, Nema 5-20R</t>
  </si>
  <si>
    <t>Quadraplex Receptacle, Nema 5-20R</t>
  </si>
  <si>
    <t xml:space="preserve">Toggle Motor Starter With Overload Protection </t>
  </si>
  <si>
    <t>P1, Electrical Panel, 120/208V, 3PH 4 Wire, Panel Size: 22" Wide x6" Deep, Nema 3R, 42 Poles</t>
  </si>
  <si>
    <t>3 Pole, 400 AMP Mian Circuit Breaker</t>
  </si>
  <si>
    <t>1 Pole, 20 AMP Circuit Breaker</t>
  </si>
  <si>
    <t>CH1-1: Level 3 Dispenser 
Manufacturer/Catalog Series: Delta Charger, Type EIDD, 350KW
Provide By Owner, Installed By Contractor</t>
  </si>
  <si>
    <t>CH1-2: Level 3 Dispenser 
Manufacturer/Catalog Series: Delta Charger, Type EIDD, 350KW
Provide By Owner, Installed By Contractor</t>
  </si>
  <si>
    <t>CH1-3: Level 3 Dispenser 
Manufacturer/Catalog Series: Delta Charger, Type EIDD, 350KW
Provide By Owner, Installed By Contractor</t>
  </si>
  <si>
    <t>CH1-4: Level 3 Dispenser 
Manufacturer/Catalog Series: Delta Charger, Type EIDD, 350KW
Provide By Owner, Installed By Contractor</t>
  </si>
  <si>
    <t>CH1-5: Level 3 Dispenser 
Manufacturer/Catalog Series: Delta Charger, Type EIDD, 350KW
Provide By Owner, Installed By Contractor</t>
  </si>
  <si>
    <t>CH1-6: Level 3 Dispenser 
Manufacturer/Catalog Series: Delta Charger, Type EIDD, 350KW
Provide By Owner, Installed By Contractor</t>
  </si>
  <si>
    <t>CH1-7: Level 3 Dispenser 
Manufacturer/Catalog Series: Delta Charger, Type EIDD, 350KW
Provide By Owner, Installed By Contractor</t>
  </si>
  <si>
    <t>CH2-1: Level 3 Dispenser 
Manufacturer/Catalog Series: Delta Charger, Type EIDD, 350KW
Provide By Owner, Installed By Contractor</t>
  </si>
  <si>
    <t>CH2-2: Level 3 Dispenser 
Manufacturer/Catalog Series: Delta Charger, Type EIDD, 350KW
Provide By Owner, Installed By Contractor</t>
  </si>
  <si>
    <t>CH2-3: Level 3 Dispenser 
Manufacturer/Catalog Series: Delta Charger, Type EIDD, 350KW
Provide By Owner, Installed By Contractor</t>
  </si>
  <si>
    <t>CH2-4: Level 3 Dispenser 
Manufacturer/Catalog Series: Delta Charger, Type EIDD, 350KW
Provide By Owner, Installed By Contractor</t>
  </si>
  <si>
    <t>CH2-5: Level 3 Dispenser 
Manufacturer/Catalog Series: Delta Charger, Type EIDD, 350KW
Provide By Owner, Installed By Contractor</t>
  </si>
  <si>
    <t>CH2-6: Level 3 Dispenser 
Manufacturer/Catalog Series: Delta Charger, Type EIDD, 350KW
Provide By Owner, Installed By Contractor</t>
  </si>
  <si>
    <t>CH2-7: Level 3 Dispenser 
Manufacturer/Catalog Series: Delta Charger, Type EIDD, 350KW
Provide By Owner, Installed By Contractor</t>
  </si>
  <si>
    <t>CH2-8: Level 3 Dispenser 
Manufacturer/Catalog Series: Delta Charger, Type EIDD, 350KW
Provide By Owner, Installed By Contractor</t>
  </si>
  <si>
    <t>CH3-1: Level 3 Dispenser 
Manufacturer/Catalog Series: Delta Charger, Type EIDD, 350KW
Provide By Owner, Installed By Contractor</t>
  </si>
  <si>
    <t>CH3-2: Level 3 Dispenser 
Manufacturer/Catalog Series: Delta Charger, Type EIDD, 350KW
Provide By Owner, Installed By Contractor</t>
  </si>
  <si>
    <t>CH3-3: Level 3 Dispenser 
Manufacturer/Catalog Series: Delta Charger, Type EIDD, 350KW
Provide By Owner, Installed By Contractor</t>
  </si>
  <si>
    <t>CH3-4: Level 3 Dispenser 
Manufacturer/Catalog Series: Delta Charger, Type EIDD, 350KW
Provide By Owner, Installed By Contractor</t>
  </si>
  <si>
    <t>CH3-5: Level 3 Dispenser 
Manufacturer/Catalog Series: Delta Charger, Type EIDD, 350KW
Provide By Owner, Installed By Contractor</t>
  </si>
  <si>
    <t>CH3-7: Level 3 Dispenser 
Manufacturer/Catalog Series: Delta Charger, Type EIDD, 350KW
Provide By Owner, Installed By Contractor</t>
  </si>
  <si>
    <t>CH3-8: Level 3 Dispenser 
Manufacturer/Catalog Series: Delta Charger, Type EIDD, 350KW
Provide By Owner, Installed By Contractor</t>
  </si>
  <si>
    <t>EV1-1: Level 3 Power Cabinet
Manufacturer/Catalog Series: Delta Charger, Type EIDD, 350KW
Provide By Owner, Installed By Contractor</t>
  </si>
  <si>
    <t>EV1-2: Level 3 Power Cabinet
Manufacturer/Catalog Series: Delta Charger, Type EIDD, 350KW
Provide By Owner, Installed By Contractor</t>
  </si>
  <si>
    <t>EV1-3: Level 3 Power Cabinet
Manufacturer/Catalog Series: Delta Charger, Type EIDD, 350KW
Provide By Owner, Installed By Contractor</t>
  </si>
  <si>
    <t>EV1-4: Level 3 Power Cabinet
Manufacturer/Catalog Series: Delta Charger, Type EIDD, 350KW
Provide By Owner, Installed By Contractor</t>
  </si>
  <si>
    <t>EV1-5: Level 3 Power Cabinet
Manufacturer/Catalog Series: Delta Charger, Type EIDD, 350KW
Provide By Owner, Installed By Contractor</t>
  </si>
  <si>
    <t>EV1-6: Level 3 Power Cabinet
Manufacturer/Catalog Series: Delta Charger, Type EIDD, 350KW
Provide By Owner, Installed By Contractor</t>
  </si>
  <si>
    <t>EV1-7: Level 3 Power Cabinet
Manufacturer/Catalog Series: Delta Charger, Type EIDD, 350KW
Provide By Owner, Installed By Contractor</t>
  </si>
  <si>
    <t>EV2-1: Level 3 Power Cabinet
Manufacturer/Catalog Series: Delta Charger, Type EIDD, 350KW
Provide By Owner, Installed By Contractor</t>
  </si>
  <si>
    <t>EV2-2: Level 3 Power Cabinet
Manufacturer/Catalog Series: Delta Charger, Type EIDD, 350KW
Provide By Owner, Installed By Contractor</t>
  </si>
  <si>
    <t>EV2-3: Level 3 Power Cabinet
Manufacturer/Catalog Series: Delta Charger, Type EIDD, 350KW
Provide By Owner, Installed By Contractor</t>
  </si>
  <si>
    <t>EV2-4: Level 3 Power Cabinet
Manufacturer/Catalog Series: Delta Charger, Type EIDD, 350KW
Provide By Owner, Installed By Contractor</t>
  </si>
  <si>
    <t>EV2-5: Level 3 Power Cabinet
Manufacturer/Catalog Series: Delta Charger, Type EIDD, 350KW
Provide By Owner, Installed By Contractor</t>
  </si>
  <si>
    <t>EV2-6: Level 3 Power Cabinet
Manufacturer/Catalog Series: Delta Charger, Type EIDD, 350KW
Provide By Owner, Installed By Contractor</t>
  </si>
  <si>
    <t>EV2-7: Level 3 Power Cabinet
Manufacturer/Catalog Series: Delta Charger, Type EIDD, 350KW
Provide By Owner, Installed By Contractor</t>
  </si>
  <si>
    <t xml:space="preserve">Ds-Gs: 60A/2P Disconnect Switch, 60A Fuse, Nema 3R, Uni-Strut Structural Steel Support </t>
  </si>
  <si>
    <t xml:space="preserve">Ds-Bd: 200A/2P Disconnect Switch, 200A Fuse, Nema 3R, Uni-Strut Structural Steel Support </t>
  </si>
  <si>
    <t>RP1, Lighting Relay Panel, Mounting: Surface, Enclosure: Nema 3R, With 12 Relays</t>
  </si>
  <si>
    <t>Astronomical Time Clock</t>
  </si>
  <si>
    <t>Low Voltage  Photocell</t>
  </si>
  <si>
    <t>Low Voltage  Override Switch</t>
  </si>
  <si>
    <t>4000A/3P Lsig Circuit Breaker, W/ Kirk Key</t>
  </si>
  <si>
    <t xml:space="preserve">600A/3P Lsi Circuit Breaker </t>
  </si>
  <si>
    <t>2000A/3P Lsig Circuit Breaker, W/ Kirk Key</t>
  </si>
  <si>
    <t>400A/3P Lsi Circuit Breaker</t>
  </si>
  <si>
    <t>200A/3P Circuit Breaker</t>
  </si>
  <si>
    <t>200A/2P Circuit Breaker</t>
  </si>
  <si>
    <t>60A/2P Circuit Breaker</t>
  </si>
  <si>
    <t xml:space="preserve">600A/3P Lsi Lockable Circuit Breaker </t>
  </si>
  <si>
    <r>
      <t xml:space="preserve">Tx-1: Utility Xfmr 2500Kva, 12470-480Y/277V 3Phase, 4 Wire </t>
    </r>
    <r>
      <rPr>
        <sz val="12"/>
        <color rgb="FFFF0000"/>
        <rFont val="Calibri"/>
        <family val="2"/>
        <scheme val="minor"/>
      </rPr>
      <t>(ONCOR Provided)</t>
    </r>
    <r>
      <rPr>
        <sz val="12"/>
        <rFont val="Calibri"/>
        <family val="2"/>
        <scheme val="minor"/>
      </rPr>
      <t xml:space="preserve">
Pad Mounted (10Ftx10Ft Pad By Div 26)</t>
    </r>
  </si>
  <si>
    <r>
      <t xml:space="preserve">Tx-2: Utility Xfmr 2500Kva, 12470-480Y/277V 3Phase, 4 Wire </t>
    </r>
    <r>
      <rPr>
        <sz val="12"/>
        <color rgb="FFFF0000"/>
        <rFont val="Calibri"/>
        <family val="2"/>
        <scheme val="minor"/>
      </rPr>
      <t>(ONCOR Provided)</t>
    </r>
    <r>
      <rPr>
        <sz val="12"/>
        <rFont val="Calibri"/>
        <family val="2"/>
        <scheme val="minor"/>
      </rPr>
      <t xml:space="preserve">
Pad Mounted (10Ftx10Ft Pad By Div 26)</t>
    </r>
  </si>
  <si>
    <r>
      <t xml:space="preserve">Tx-3: Utility Xfmr 2500Kva, 12470-480Y/277V 3Phase, 4 Wire </t>
    </r>
    <r>
      <rPr>
        <sz val="12"/>
        <color rgb="FFFF0000"/>
        <rFont val="Calibri"/>
        <family val="2"/>
        <scheme val="minor"/>
      </rPr>
      <t>(ONCOR Provided)</t>
    </r>
    <r>
      <rPr>
        <sz val="12"/>
        <rFont val="Calibri"/>
        <family val="2"/>
        <scheme val="minor"/>
      </rPr>
      <t xml:space="preserve">
Pad Mounted (10Ftx10Ft Pad By Div 26)</t>
    </r>
  </si>
  <si>
    <t>T-1: Transformer 150Kva, 480-208Y/120V 3Phase, 4 Wire, Dry Type Nema 3R</t>
  </si>
  <si>
    <t>3/4"X 8' Copper Weld Ground Rod</t>
  </si>
  <si>
    <t xml:space="preserve">#6  Cu Grouding Wire , 3/4" RGS Conduit </t>
  </si>
  <si>
    <t xml:space="preserve">#6  Bare CU Grouding Wire </t>
  </si>
  <si>
    <r>
      <t xml:space="preserve">5/8"X8' Copper Weld Ground Rod </t>
    </r>
    <r>
      <rPr>
        <sz val="12"/>
        <color rgb="FFFF0000"/>
        <rFont val="Calibri"/>
        <family val="2"/>
        <scheme val="minor"/>
      </rPr>
      <t>(By Utility)</t>
    </r>
  </si>
  <si>
    <t>#6  Copper, 3/4" RGS Conduit</t>
  </si>
  <si>
    <t>#1/0 Copper Wire, 3/4" RGS Conduit</t>
  </si>
  <si>
    <t>#2 Copper Wire, 3/4" RGS Conduit</t>
  </si>
  <si>
    <t>Data Access Point</t>
  </si>
  <si>
    <t>TWI Data Access Point</t>
  </si>
  <si>
    <t>WP Data Access Point</t>
  </si>
  <si>
    <t>Security Camera</t>
  </si>
  <si>
    <t>Security Camera- TWI</t>
  </si>
  <si>
    <t>Card  Reader</t>
  </si>
  <si>
    <t>236Ct: (24"-L X24"-W X12"-D) Precast Concrete Pull Box 
Installation: Flush In-Grade
Box Options: Open Bottom
Cover Type: Bolt Down Cover
Traffic Tier: Traffic Rated
Oldcastle Chrity (B24) Hubbell  Quazite Series Approved Equal</t>
  </si>
  <si>
    <t>Provided Knox Box For ONCOR</t>
  </si>
  <si>
    <t xml:space="preserve">600A/3P Disconnect Switch, Nema 3R, Uni-Strut Structural Steel Support </t>
  </si>
  <si>
    <t>236Ct: (36"-L X36"-W X36"-D) Precast Concrete Pull Box 
Installation: Flush In-Grade
Box Options: Open Bottom
Cover Type: Bolt Down Cover
Traffic Tier: Traffic Rated
New Basis #PCA30483690000 Approved Equal</t>
  </si>
  <si>
    <t>249ct: 48"-L X48"-W X36"-D) Precast Concrete Pull Box
Installation: Flush In-Grade
Box Options: Open Bottom
Cover Type: Bolt Down Cover
Traffic Tier: Traffic Rated
New Basis #FCA24363690050 Approved Equal</t>
  </si>
  <si>
    <t xml:space="preserve">2000 Amp Cam Lock Connection To Switchboard </t>
  </si>
  <si>
    <t xml:space="preserve">5'-0" X 1'-5" Concrete Encased Duck Bank </t>
  </si>
  <si>
    <t xml:space="preserve">5' X 2'-7" Concrete Encased Duck Bank </t>
  </si>
  <si>
    <t>Data Outlet With Single Gang Faceplate</t>
  </si>
  <si>
    <t>3#6) 40' Cord Reel Hubbell Heavy Duty  (Other Manufacturer Equal)</t>
  </si>
  <si>
    <t>Cord Grip (1' Length)</t>
  </si>
  <si>
    <t>Power Cord Reel Detail (Assumed)</t>
  </si>
  <si>
    <t>120/277 Multi-Volt Control Power Tranformer</t>
  </si>
  <si>
    <t>Lighting Controls</t>
  </si>
  <si>
    <t>SG-1, Utility pad Mounted Switch Gear, Provided Concrete Pad For ONCOR Switch</t>
  </si>
  <si>
    <r>
      <t xml:space="preserve">Meter ,Meter Base , And CTS </t>
    </r>
    <r>
      <rPr>
        <sz val="12"/>
        <color rgb="FFFF0000"/>
        <rFont val="Calibri"/>
        <family val="2"/>
        <scheme val="minor"/>
      </rPr>
      <t>(By ONCOR)</t>
    </r>
  </si>
  <si>
    <t>EV2-8: Level 3 Power Cabinet
Manufacturer/Catalog Series: Delta Charger, Type EIDD, 350KW
Provide By Owner, Installed By Contractor</t>
  </si>
  <si>
    <t>EV3-1: Level 3 Power Cabinet
Manufacturer/Catalog Series: Delta Charger, Type EIDD, 350KW
Provide By Owner, Installed By Contractor</t>
  </si>
  <si>
    <t>EV3-2: Level 3 Power Cabinet
Manufacturer/Catalog Series: Delta Charger, Type EIDD, 350KW
Provide By Owner, Installed By Contractor</t>
  </si>
  <si>
    <t>EV3-3: Level 3 Power Cabinet
Manufacturer/Catalog Series: Delta Charger, Type EIDD, 350KW
Provide By Owner, Installed By Contractor</t>
  </si>
  <si>
    <t>EV3-4: Level 3 Power Cabinet
Manufacturer/Catalog Series: Delta Charger, Type EIDD, 350KW
Provide By Owner, Installed By Contractor</t>
  </si>
  <si>
    <t>EV3-5: Level 3 Power Cabinet
Manufacturer/Catalog Series: Delta Charger, Type EIDD, 350KW
Provide By Owner, Installed By Contractor</t>
  </si>
  <si>
    <t>EV3-7: Level 3 Power Cabinet
Manufacturer/Catalog Series: Delta Charger, Type EIDD, 350KW
Provide By Owner, Installed By Contractor</t>
  </si>
  <si>
    <t>EV3-8: Level 3 Power Cabinet
Manufacturer/Catalog Series: Delta Charger, Type EIDD, 350KW
Provide By Owner, Installed By Contractor</t>
  </si>
  <si>
    <r>
      <t xml:space="preserve">DP-1, Distribution Panel, </t>
    </r>
    <r>
      <rPr>
        <sz val="12"/>
        <color rgb="FFFF0000"/>
        <rFont val="Calibri"/>
        <family val="2"/>
        <scheme val="minor"/>
      </rPr>
      <t>Detail Not Given</t>
    </r>
  </si>
  <si>
    <t>EV3-6: Level 3 Power Cabinet
Manufacturer/Catalog Series: Delta Charger, Type EIDD, 350KW
Provide By Owner, Installed By Contractor</t>
  </si>
  <si>
    <t>4" Dia Conduit End Cap</t>
  </si>
  <si>
    <t>1" Dia Conduit End Cap</t>
  </si>
  <si>
    <t>End Cap</t>
  </si>
  <si>
    <t xml:space="preserve">4 Sets #4 Ties On Top Of BASE </t>
  </si>
  <si>
    <t>Anchor Bolts (4-EA)</t>
  </si>
  <si>
    <t xml:space="preserve">8#6 Bars Vertical With 3 Sets #4 Ties </t>
  </si>
  <si>
    <t>24" Dia x 11' Pole Base, 8' Below Grade &amp; 3' Above Grade</t>
  </si>
  <si>
    <t>1137 MEDICAL DISTRICT DR, DALLAS, TX 75207</t>
  </si>
  <si>
    <r>
      <t xml:space="preserve">Ses-1: 480/277V, 3Ph, 4 Wire, 4000A, 100000Aic, Nema 3R  Switchboard Vault  In Ct Cabinets  (97"-W  X 102"-L), With Pad Mounted
</t>
    </r>
    <r>
      <rPr>
        <sz val="12"/>
        <color rgb="FFFF0000"/>
        <rFont val="Calibri"/>
        <family val="2"/>
        <scheme val="minor"/>
      </rPr>
      <t>(Owner Furnished, Contractor Install)</t>
    </r>
  </si>
  <si>
    <r>
      <t xml:space="preserve">Ses-3: 480/277V, 3Ph, 4 Wire, 4000A, 100000Aic, Nema 3R  Switchboard Vault  In Ct Cabinets  (97"-W  X 102"-L), With Pad Mounted
</t>
    </r>
    <r>
      <rPr>
        <sz val="12"/>
        <color rgb="FFFF0000"/>
        <rFont val="Calibri"/>
        <family val="2"/>
        <scheme val="minor"/>
      </rPr>
      <t>(Owner Furnished, Contractor Install)</t>
    </r>
  </si>
  <si>
    <r>
      <t xml:space="preserve">Ses-2: 480/277V, 3Ph, 4 Wire, 4000A, 100000Aic, Nema 3R  Switchboard Vault  In Ct Cabinets  (97"-W  X 102"-L), With Pad Mounted
</t>
    </r>
    <r>
      <rPr>
        <sz val="12"/>
        <color rgb="FFFF0000"/>
        <rFont val="Calibri"/>
        <family val="2"/>
        <scheme val="minor"/>
      </rPr>
      <t>(Owner Furnished, Contractor Install)</t>
    </r>
  </si>
  <si>
    <t>Crane And Rigging Services For Placement Of Large Electrical Equipment</t>
  </si>
  <si>
    <t>Electrical Testing And Verification Required Prior To Energization</t>
  </si>
  <si>
    <r>
      <t>115kva Transformer
Provided by U.S. Electric.</t>
    </r>
    <r>
      <rPr>
        <sz val="12"/>
        <color theme="1"/>
        <rFont val="Calibri"/>
        <family val="2"/>
        <scheme val="minor"/>
      </rPr>
      <t xml:space="preserve"> (Installation Only)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</si>
</sst>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5">
    <numFmt numFmtId="164" formatCode="_(&quot;$&quot;* #,##0_);_(&quot;$&quot;* \(#,##0\);_(&quot;$&quot;* &quot;-&quot;_);_(@_)"/>
    <numFmt numFmtId="165" formatCode="_(* #,##0_);_(* \(#,##0\);_(* &quot;-&quot;_);_(@_)"/>
    <numFmt numFmtId="166" formatCode="_(&quot;$&quot;* #,##0.00_);_(&quot;$&quot;* \(#,##0.00\);_(&quot;$&quot;* &quot;-&quot;??_);_(@_)"/>
    <numFmt numFmtId="167" formatCode="_(* #,##0.00_);_(* \(#,##0.00\);_(* &quot;-&quot;??_);_(@_)"/>
    <numFmt numFmtId="168" formatCode="&quot;$&quot;#,##0"/>
    <numFmt numFmtId="169" formatCode="_(&quot;$&quot;* #,##0_);_(&quot;$&quot;* \(#,##0\);_(&quot;$&quot;* &quot;-&quot;??_);_(@_)"/>
    <numFmt numFmtId="170" formatCode="_(&quot;$&quot;* #,##0_);_(&quot;$&quot;* \(#,##0\);_(&quot;$&quot;* &quot;-&quot;?_);_(@_)"/>
    <numFmt numFmtId="171" formatCode="_(&quot;$&quot;* #,##0.0_);_(&quot;$&quot;* \(#,##0.0\);_(&quot;$&quot;* &quot;-&quot;??_);_(@_)"/>
    <numFmt numFmtId="172" formatCode="_-&quot;$&quot;* #,##0_-;\-&quot;$&quot;* #,##0_-;_-&quot;$&quot;* &quot;-&quot;??_-;_-@_-"/>
    <numFmt numFmtId="173" formatCode="_(* #,##0_);_(* \(#,##0\);_(* &quot;-&quot;??_);_(@_)"/>
    <numFmt numFmtId="174" formatCode="0.000"/>
    <numFmt numFmtId="175" formatCode="0.0%"/>
    <numFmt numFmtId="176" formatCode="0.000%"/>
    <numFmt numFmtId="177" formatCode="&quot;$&quot;#,##0.00"/>
    <numFmt numFmtId="178" formatCode="_-[$$-409]* #,##0.00_ ;_-[$$-409]* \-#,##0.00\ ;_-[$$-409]* &quot;-&quot;??_ ;_-@_ "/>
  </numFmts>
  <fonts count="103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indexed="9"/>
      <name val="Calibri"/>
      <family val="2"/>
      <scheme val="minor"/>
    </font>
    <font>
      <u/>
      <sz val="12"/>
      <name val="Calibri"/>
      <family val="2"/>
      <scheme val="minor"/>
    </font>
    <font>
      <b/>
      <sz val="12"/>
      <color indexed="63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name val="Arial"/>
      <family val="2"/>
    </font>
    <font>
      <b/>
      <sz val="14"/>
      <color rgb="FFFF0000"/>
      <name val="Calibri"/>
      <family val="2"/>
      <scheme val="minor"/>
    </font>
    <font>
      <b/>
      <sz val="2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name val="Calibri"/>
      <family val="2"/>
      <scheme val="minor"/>
    </font>
    <font>
      <sz val="12"/>
      <name val="Arial"/>
      <family val="2"/>
    </font>
    <font>
      <sz val="8"/>
      <name val="Arial"/>
      <family val="2"/>
    </font>
    <font>
      <b/>
      <sz val="13"/>
      <name val="Calibri"/>
      <family val="2"/>
      <scheme val="minor"/>
    </font>
    <font>
      <b/>
      <sz val="13"/>
      <color rgb="FFFF0000"/>
      <name val="Calibri"/>
      <family val="2"/>
      <scheme val="minor"/>
    </font>
    <font>
      <b/>
      <sz val="12"/>
      <color rgb="FF333333"/>
      <name val="Calibri"/>
      <family val="2"/>
      <scheme val="minor"/>
    </font>
    <font>
      <u/>
      <sz val="12"/>
      <color theme="10"/>
      <name val="Arial"/>
      <family val="2"/>
    </font>
    <font>
      <b/>
      <sz val="12"/>
      <color theme="0" tint="-0.499984740745262"/>
      <name val="Calibri"/>
      <family val="2"/>
      <scheme val="minor"/>
    </font>
    <font>
      <sz val="12"/>
      <color theme="0" tint="-0.499984740745262"/>
      <name val="Calibri"/>
      <family val="2"/>
      <scheme val="minor"/>
    </font>
    <font>
      <b/>
      <sz val="12"/>
      <name val="Cambria"/>
      <family val="1"/>
      <scheme val="major"/>
    </font>
    <font>
      <sz val="12"/>
      <name val="Cambria"/>
      <family val="1"/>
      <scheme val="major"/>
    </font>
    <font>
      <b/>
      <sz val="12"/>
      <color indexed="62"/>
      <name val="Calibri"/>
      <family val="2"/>
      <scheme val="minor"/>
    </font>
    <font>
      <b/>
      <sz val="19"/>
      <color theme="0"/>
      <name val="Calibri"/>
      <family val="2"/>
      <scheme val="minor"/>
    </font>
    <font>
      <b/>
      <u/>
      <sz val="12"/>
      <color theme="0" tint="-0.499984740745262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6"/>
      <color rgb="FF0000FF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28"/>
      <color rgb="FFEC6B0A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3"/>
      <name val="Calibri"/>
      <family val="2"/>
      <scheme val="minor"/>
    </font>
    <font>
      <b/>
      <sz val="16"/>
      <name val="Calibri"/>
      <family val="2"/>
      <scheme val="minor"/>
    </font>
    <font>
      <b/>
      <sz val="20"/>
      <color rgb="FFFF0000"/>
      <name val="Calibri"/>
      <family val="2"/>
      <scheme val="minor"/>
    </font>
    <font>
      <u/>
      <sz val="12"/>
      <color rgb="FFFF0000"/>
      <name val="Calibri"/>
      <family val="2"/>
      <scheme val="minor"/>
    </font>
    <font>
      <b/>
      <sz val="22"/>
      <name val="Calibri"/>
      <family val="2"/>
      <scheme val="minor"/>
    </font>
    <font>
      <b/>
      <sz val="28"/>
      <color theme="2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b/>
      <sz val="16"/>
      <color theme="8" tint="-0.249977111117893"/>
      <name val="Calibri"/>
      <family val="2"/>
      <scheme val="minor"/>
    </font>
    <font>
      <b/>
      <sz val="16"/>
      <color theme="9" tint="-0.249977111117893"/>
      <name val="Calibri"/>
      <family val="2"/>
      <scheme val="minor"/>
    </font>
    <font>
      <b/>
      <sz val="16"/>
      <color theme="7"/>
      <name val="Calibri"/>
      <family val="2"/>
      <scheme val="minor"/>
    </font>
    <font>
      <b/>
      <sz val="16"/>
      <color theme="6"/>
      <name val="Calibri"/>
      <family val="2"/>
      <scheme val="minor"/>
    </font>
    <font>
      <b/>
      <sz val="16"/>
      <color theme="5"/>
      <name val="Calibri"/>
      <family val="2"/>
      <scheme val="minor"/>
    </font>
    <font>
      <b/>
      <sz val="16"/>
      <color theme="0" tint="-0.499984740745262"/>
      <name val="Calibri"/>
      <family val="2"/>
      <scheme val="minor"/>
    </font>
    <font>
      <b/>
      <sz val="14"/>
      <color theme="0" tint="-0.499984740745262"/>
      <name val="Calibri"/>
      <family val="2"/>
      <scheme val="minor"/>
    </font>
    <font>
      <sz val="14"/>
      <color theme="0" tint="-0.499984740745262"/>
      <name val="Calibri"/>
      <family val="2"/>
      <scheme val="minor"/>
    </font>
    <font>
      <b/>
      <sz val="16"/>
      <color rgb="FFEC6B0A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sz val="18"/>
      <name val="Calibri"/>
      <family val="2"/>
      <scheme val="minor"/>
    </font>
    <font>
      <b/>
      <i/>
      <u val="double"/>
      <sz val="18"/>
      <color rgb="FFFF0000"/>
      <name val="Calibri"/>
      <family val="2"/>
      <scheme val="minor"/>
    </font>
    <font>
      <u val="double"/>
      <sz val="18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2"/>
      <color rgb="FF0070C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rgb="FF0000FF"/>
      <name val="Calibri"/>
      <family val="2"/>
      <scheme val="minor"/>
    </font>
    <font>
      <sz val="12"/>
      <name val="Arial"/>
      <family val="2"/>
    </font>
    <font>
      <sz val="8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B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C6B0A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ACB9CA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7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3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rgb="FFB2B2B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rgb="FFB2B2B2"/>
      </bottom>
      <diagonal/>
    </border>
    <border>
      <left/>
      <right style="thin">
        <color indexed="64"/>
      </right>
      <top style="thin">
        <color indexed="64"/>
      </top>
      <bottom style="thin">
        <color rgb="FFB2B2B2"/>
      </bottom>
      <diagonal/>
    </border>
    <border>
      <left style="thin">
        <color indexed="22"/>
      </left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2"/>
      </top>
      <bottom style="double">
        <color indexed="62"/>
      </bottom>
      <diagonal/>
    </border>
    <border>
      <left/>
      <right style="thin">
        <color indexed="64"/>
      </right>
      <top/>
      <bottom style="double">
        <color indexed="62"/>
      </bottom>
      <diagonal/>
    </border>
    <border>
      <left/>
      <right style="thin">
        <color indexed="64"/>
      </right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double">
        <color indexed="62"/>
      </top>
      <bottom style="thin">
        <color indexed="64"/>
      </bottom>
      <diagonal/>
    </border>
    <border>
      <left/>
      <right/>
      <top style="double">
        <color indexed="62"/>
      </top>
      <bottom style="thin">
        <color indexed="64"/>
      </bottom>
      <diagonal/>
    </border>
    <border>
      <left/>
      <right/>
      <top style="thin">
        <color indexed="62"/>
      </top>
      <bottom style="thin">
        <color indexed="64"/>
      </bottom>
      <diagonal/>
    </border>
    <border>
      <left/>
      <right style="thin">
        <color indexed="64"/>
      </right>
      <top style="thin">
        <color indexed="62"/>
      </top>
      <bottom style="thin">
        <color indexed="64"/>
      </bottom>
      <diagonal/>
    </border>
    <border>
      <left style="thin">
        <color indexed="64"/>
      </left>
      <right style="thin">
        <color indexed="22"/>
      </right>
      <top style="thin">
        <color indexed="22"/>
      </top>
      <bottom/>
      <diagonal/>
    </border>
    <border>
      <left style="thin">
        <color indexed="64"/>
      </left>
      <right/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/>
      <top/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indexed="22"/>
      </right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22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87">
    <xf numFmtId="0" fontId="0" fillId="0" borderId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9" borderId="0" applyNumberFormat="0" applyBorder="0" applyAlignment="0" applyProtection="0"/>
    <xf numFmtId="0" fontId="19" fillId="3" borderId="0" applyNumberFormat="0" applyBorder="0" applyAlignment="0" applyProtection="0"/>
    <xf numFmtId="0" fontId="20" fillId="20" borderId="1" applyNumberFormat="0" applyAlignment="0" applyProtection="0"/>
    <xf numFmtId="0" fontId="21" fillId="21" borderId="2" applyNumberFormat="0" applyAlignment="0" applyProtection="0"/>
    <xf numFmtId="0" fontId="22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7" fillId="7" borderId="1" applyNumberFormat="0" applyAlignment="0" applyProtection="0"/>
    <xf numFmtId="0" fontId="28" fillId="0" borderId="6" applyNumberFormat="0" applyFill="0" applyAlignment="0" applyProtection="0"/>
    <xf numFmtId="0" fontId="29" fillId="22" borderId="0" applyNumberFormat="0" applyBorder="0" applyAlignment="0" applyProtection="0"/>
    <xf numFmtId="0" fontId="16" fillId="0" borderId="0"/>
    <xf numFmtId="0" fontId="16" fillId="23" borderId="7" applyNumberFormat="0" applyFont="0" applyAlignment="0" applyProtection="0"/>
    <xf numFmtId="0" fontId="30" fillId="20" borderId="8" applyNumberFormat="0" applyAlignment="0" applyProtection="0"/>
    <xf numFmtId="0" fontId="31" fillId="0" borderId="0" applyNumberFormat="0" applyFill="0" applyBorder="0" applyAlignment="0" applyProtection="0"/>
    <xf numFmtId="0" fontId="32" fillId="0" borderId="9" applyNumberFormat="0" applyFill="0" applyAlignment="0" applyProtection="0"/>
    <xf numFmtId="0" fontId="33" fillId="0" borderId="0" applyNumberFormat="0" applyFill="0" applyBorder="0" applyAlignment="0" applyProtection="0"/>
    <xf numFmtId="0" fontId="15" fillId="0" borderId="0"/>
    <xf numFmtId="0" fontId="34" fillId="0" borderId="0"/>
    <xf numFmtId="0" fontId="16" fillId="0" borderId="0"/>
    <xf numFmtId="167" fontId="34" fillId="0" borderId="0" applyFont="0" applyFill="0" applyBorder="0" applyAlignment="0" applyProtection="0"/>
    <xf numFmtId="0" fontId="35" fillId="0" borderId="0"/>
    <xf numFmtId="167" fontId="16" fillId="0" borderId="0" applyFont="0" applyFill="0" applyBorder="0" applyAlignment="0" applyProtection="0"/>
    <xf numFmtId="0" fontId="16" fillId="0" borderId="0"/>
    <xf numFmtId="166" fontId="35" fillId="0" borderId="0" applyFont="0" applyFill="0" applyBorder="0" applyAlignment="0" applyProtection="0"/>
    <xf numFmtId="0" fontId="14" fillId="0" borderId="0"/>
    <xf numFmtId="0" fontId="16" fillId="0" borderId="0"/>
    <xf numFmtId="0" fontId="14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166" fontId="47" fillId="0" borderId="0" applyFont="0" applyFill="0" applyBorder="0" applyAlignment="0" applyProtection="0"/>
    <xf numFmtId="9" fontId="47" fillId="0" borderId="0" applyFont="0" applyFill="0" applyBorder="0" applyAlignment="0" applyProtection="0"/>
    <xf numFmtId="167" fontId="47" fillId="0" borderId="0" applyFont="0" applyFill="0" applyBorder="0" applyAlignment="0" applyProtection="0"/>
    <xf numFmtId="0" fontId="16" fillId="23" borderId="13" applyNumberFormat="0" applyFont="0" applyAlignment="0" applyProtection="0"/>
    <xf numFmtId="0" fontId="10" fillId="0" borderId="0"/>
    <xf numFmtId="0" fontId="16" fillId="23" borderId="13" applyNumberFormat="0" applyFont="0" applyAlignment="0" applyProtection="0"/>
    <xf numFmtId="0" fontId="16" fillId="23" borderId="13" applyNumberFormat="0" applyFont="0" applyAlignment="0" applyProtection="0"/>
    <xf numFmtId="0" fontId="16" fillId="23" borderId="13" applyNumberFormat="0" applyFont="0" applyAlignment="0" applyProtection="0"/>
    <xf numFmtId="0" fontId="9" fillId="0" borderId="0"/>
    <xf numFmtId="0" fontId="16" fillId="23" borderId="23" applyNumberFormat="0" applyFont="0" applyAlignment="0" applyProtection="0"/>
    <xf numFmtId="0" fontId="16" fillId="23" borderId="23" applyNumberFormat="0" applyFont="0" applyAlignment="0" applyProtection="0"/>
    <xf numFmtId="0" fontId="16" fillId="23" borderId="23" applyNumberFormat="0" applyFont="0" applyAlignment="0" applyProtection="0"/>
    <xf numFmtId="0" fontId="16" fillId="23" borderId="23" applyNumberFormat="0" applyFont="0" applyAlignment="0" applyProtection="0"/>
    <xf numFmtId="0" fontId="16" fillId="23" borderId="23" applyNumberFormat="0" applyFont="0" applyAlignment="0" applyProtection="0"/>
    <xf numFmtId="166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30" fillId="20" borderId="25" applyNumberFormat="0" applyAlignment="0" applyProtection="0"/>
    <xf numFmtId="166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0" fontId="16" fillId="23" borderId="30" applyNumberFormat="0" applyFont="0" applyAlignment="0" applyProtection="0"/>
    <xf numFmtId="0" fontId="16" fillId="23" borderId="30" applyNumberFormat="0" applyFont="0" applyAlignment="0" applyProtection="0"/>
    <xf numFmtId="0" fontId="16" fillId="23" borderId="30" applyNumberFormat="0" applyFont="0" applyAlignment="0" applyProtection="0"/>
    <xf numFmtId="0" fontId="30" fillId="20" borderId="31" applyNumberFormat="0" applyAlignment="0" applyProtection="0"/>
    <xf numFmtId="0" fontId="27" fillId="7" borderId="32" applyNumberFormat="0" applyAlignment="0" applyProtection="0"/>
    <xf numFmtId="0" fontId="30" fillId="20" borderId="31" applyNumberFormat="0" applyAlignment="0" applyProtection="0"/>
    <xf numFmtId="0" fontId="32" fillId="0" borderId="33" applyNumberFormat="0" applyFill="0" applyAlignment="0" applyProtection="0"/>
    <xf numFmtId="0" fontId="16" fillId="23" borderId="35" applyNumberFormat="0" applyFont="0" applyAlignment="0" applyProtection="0"/>
    <xf numFmtId="0" fontId="16" fillId="23" borderId="35" applyNumberFormat="0" applyFont="0" applyAlignment="0" applyProtection="0"/>
    <xf numFmtId="0" fontId="30" fillId="20" borderId="36" applyNumberFormat="0" applyAlignment="0" applyProtection="0"/>
    <xf numFmtId="0" fontId="16" fillId="23" borderId="35" applyNumberFormat="0" applyFont="0" applyAlignment="0" applyProtection="0"/>
    <xf numFmtId="0" fontId="27" fillId="7" borderId="37" applyNumberFormat="0" applyAlignment="0" applyProtection="0"/>
    <xf numFmtId="0" fontId="57" fillId="0" borderId="0" applyNumberFormat="0" applyFill="0" applyBorder="0" applyAlignment="0" applyProtection="0"/>
    <xf numFmtId="0" fontId="16" fillId="23" borderId="40" applyNumberFormat="0" applyFont="0" applyAlignment="0" applyProtection="0"/>
    <xf numFmtId="0" fontId="16" fillId="23" borderId="40" applyNumberFormat="0" applyFont="0" applyAlignment="0" applyProtection="0"/>
    <xf numFmtId="0" fontId="16" fillId="23" borderId="40" applyNumberFormat="0" applyFont="0" applyAlignment="0" applyProtection="0"/>
    <xf numFmtId="0" fontId="8" fillId="0" borderId="0"/>
    <xf numFmtId="0" fontId="7" fillId="0" borderId="0"/>
    <xf numFmtId="0" fontId="16" fillId="23" borderId="40" applyNumberFormat="0" applyFont="0" applyAlignment="0" applyProtection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99" fillId="0" borderId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9" borderId="0" applyNumberFormat="0" applyBorder="0" applyAlignment="0" applyProtection="0"/>
    <xf numFmtId="0" fontId="19" fillId="3" borderId="0" applyNumberFormat="0" applyBorder="0" applyAlignment="0" applyProtection="0"/>
    <xf numFmtId="0" fontId="20" fillId="20" borderId="37" applyNumberFormat="0" applyAlignment="0" applyProtection="0"/>
    <xf numFmtId="0" fontId="21" fillId="21" borderId="2" applyNumberFormat="0" applyAlignment="0" applyProtection="0"/>
    <xf numFmtId="0" fontId="22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7" fillId="7" borderId="37" applyNumberFormat="0" applyAlignment="0" applyProtection="0"/>
    <xf numFmtId="0" fontId="28" fillId="0" borderId="6" applyNumberFormat="0" applyFill="0" applyAlignment="0" applyProtection="0"/>
    <xf numFmtId="0" fontId="29" fillId="22" borderId="0" applyNumberFormat="0" applyBorder="0" applyAlignment="0" applyProtection="0"/>
    <xf numFmtId="0" fontId="16" fillId="23" borderId="40" applyNumberFormat="0" applyFont="0" applyAlignment="0" applyProtection="0"/>
    <xf numFmtId="0" fontId="30" fillId="20" borderId="36" applyNumberFormat="0" applyAlignment="0" applyProtection="0"/>
    <xf numFmtId="0" fontId="31" fillId="0" borderId="0" applyNumberFormat="0" applyFill="0" applyBorder="0" applyAlignment="0" applyProtection="0"/>
    <xf numFmtId="0" fontId="32" fillId="0" borderId="33" applyNumberFormat="0" applyFill="0" applyAlignment="0" applyProtection="0"/>
    <xf numFmtId="0" fontId="3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6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167" fontId="16" fillId="0" borderId="0" applyFont="0" applyFill="0" applyBorder="0" applyAlignment="0" applyProtection="0"/>
    <xf numFmtId="0" fontId="2" fillId="0" borderId="0"/>
    <xf numFmtId="0" fontId="16" fillId="23" borderId="40" applyNumberFormat="0" applyFont="0" applyAlignment="0" applyProtection="0"/>
    <xf numFmtId="0" fontId="16" fillId="23" borderId="40" applyNumberFormat="0" applyFont="0" applyAlignment="0" applyProtection="0"/>
    <xf numFmtId="0" fontId="16" fillId="23" borderId="40" applyNumberFormat="0" applyFont="0" applyAlignment="0" applyProtection="0"/>
    <xf numFmtId="0" fontId="2" fillId="0" borderId="0"/>
    <xf numFmtId="0" fontId="16" fillId="23" borderId="40" applyNumberFormat="0" applyFont="0" applyAlignment="0" applyProtection="0"/>
    <xf numFmtId="0" fontId="16" fillId="23" borderId="40" applyNumberFormat="0" applyFont="0" applyAlignment="0" applyProtection="0"/>
    <xf numFmtId="0" fontId="16" fillId="23" borderId="40" applyNumberFormat="0" applyFont="0" applyAlignment="0" applyProtection="0"/>
    <xf numFmtId="0" fontId="16" fillId="23" borderId="40" applyNumberFormat="0" applyFont="0" applyAlignment="0" applyProtection="0"/>
    <xf numFmtId="166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0" fontId="16" fillId="23" borderId="40" applyNumberFormat="0" applyFont="0" applyAlignment="0" applyProtection="0"/>
    <xf numFmtId="0" fontId="16" fillId="23" borderId="40" applyNumberFormat="0" applyFont="0" applyAlignment="0" applyProtection="0"/>
    <xf numFmtId="0" fontId="16" fillId="23" borderId="40" applyNumberFormat="0" applyFont="0" applyAlignment="0" applyProtection="0"/>
    <xf numFmtId="0" fontId="30" fillId="20" borderId="36" applyNumberFormat="0" applyAlignment="0" applyProtection="0"/>
    <xf numFmtId="0" fontId="27" fillId="7" borderId="37" applyNumberFormat="0" applyAlignment="0" applyProtection="0"/>
    <xf numFmtId="0" fontId="16" fillId="23" borderId="40" applyNumberFormat="0" applyFont="0" applyAlignment="0" applyProtection="0"/>
    <xf numFmtId="0" fontId="16" fillId="23" borderId="40" applyNumberFormat="0" applyFont="0" applyAlignment="0" applyProtection="0"/>
    <xf numFmtId="0" fontId="16" fillId="23" borderId="40" applyNumberFormat="0" applyFont="0" applyAlignment="0" applyProtection="0"/>
    <xf numFmtId="0" fontId="57" fillId="0" borderId="0" applyNumberFormat="0" applyFill="0" applyBorder="0" applyAlignment="0" applyProtection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401">
    <xf numFmtId="0" fontId="0" fillId="0" borderId="0" xfId="0"/>
    <xf numFmtId="0" fontId="36" fillId="0" borderId="0" xfId="0" applyFont="1" applyAlignment="1">
      <alignment vertical="top"/>
    </xf>
    <xf numFmtId="0" fontId="39" fillId="0" borderId="0" xfId="0" applyFont="1" applyAlignment="1">
      <alignment vertical="center"/>
    </xf>
    <xf numFmtId="0" fontId="38" fillId="0" borderId="0" xfId="0" applyFont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2" fontId="36" fillId="0" borderId="0" xfId="0" applyNumberFormat="1" applyFont="1" applyAlignment="1">
      <alignment horizontal="center" vertical="center" wrapText="1"/>
    </xf>
    <xf numFmtId="2" fontId="36" fillId="0" borderId="0" xfId="0" applyNumberFormat="1" applyFont="1" applyAlignment="1">
      <alignment vertical="center" wrapText="1"/>
    </xf>
    <xf numFmtId="0" fontId="36" fillId="0" borderId="0" xfId="45" applyFont="1" applyAlignment="1">
      <alignment vertical="center"/>
    </xf>
    <xf numFmtId="0" fontId="36" fillId="0" borderId="11" xfId="0" applyFont="1" applyBorder="1" applyAlignment="1">
      <alignment horizontal="center" vertical="center"/>
    </xf>
    <xf numFmtId="9" fontId="36" fillId="0" borderId="11" xfId="62" applyFont="1" applyFill="1" applyBorder="1" applyAlignment="1">
      <alignment horizontal="center" vertical="center"/>
    </xf>
    <xf numFmtId="0" fontId="40" fillId="0" borderId="11" xfId="39" applyFont="1" applyFill="1" applyBorder="1" applyAlignment="1">
      <alignment vertical="center" wrapText="1"/>
    </xf>
    <xf numFmtId="0" fontId="56" fillId="0" borderId="11" xfId="0" applyFont="1" applyBorder="1" applyAlignment="1">
      <alignment vertical="center" wrapText="1"/>
    </xf>
    <xf numFmtId="0" fontId="59" fillId="0" borderId="0" xfId="0" applyFont="1" applyAlignment="1">
      <alignment vertical="top"/>
    </xf>
    <xf numFmtId="170" fontId="36" fillId="0" borderId="0" xfId="45" applyNumberFormat="1" applyFont="1" applyAlignment="1">
      <alignment vertical="center"/>
    </xf>
    <xf numFmtId="0" fontId="61" fillId="0" borderId="0" xfId="0" applyFont="1"/>
    <xf numFmtId="0" fontId="60" fillId="0" borderId="0" xfId="0" applyFont="1" applyAlignment="1">
      <alignment horizontal="center"/>
    </xf>
    <xf numFmtId="0" fontId="60" fillId="0" borderId="0" xfId="0" applyFont="1"/>
    <xf numFmtId="9" fontId="61" fillId="0" borderId="0" xfId="0" applyNumberFormat="1" applyFont="1"/>
    <xf numFmtId="175" fontId="61" fillId="0" borderId="0" xfId="0" applyNumberFormat="1" applyFont="1"/>
    <xf numFmtId="0" fontId="6" fillId="0" borderId="0" xfId="99"/>
    <xf numFmtId="0" fontId="6" fillId="0" borderId="0" xfId="99" applyAlignment="1">
      <alignment horizontal="center"/>
    </xf>
    <xf numFmtId="166" fontId="61" fillId="0" borderId="0" xfId="61" applyFont="1"/>
    <xf numFmtId="169" fontId="54" fillId="24" borderId="10" xfId="61" applyNumberFormat="1" applyFont="1" applyFill="1" applyBorder="1" applyAlignment="1">
      <alignment horizontal="left" vertical="center" wrapText="1"/>
    </xf>
    <xf numFmtId="169" fontId="54" fillId="24" borderId="16" xfId="61" applyNumberFormat="1" applyFont="1" applyFill="1" applyBorder="1" applyAlignment="1">
      <alignment horizontal="left" vertical="center" wrapText="1"/>
    </xf>
    <xf numFmtId="169" fontId="54" fillId="24" borderId="27" xfId="61" applyNumberFormat="1" applyFont="1" applyFill="1" applyBorder="1" applyAlignment="1">
      <alignment horizontal="left" vertical="center" wrapText="1"/>
    </xf>
    <xf numFmtId="173" fontId="51" fillId="30" borderId="15" xfId="63" applyNumberFormat="1" applyFont="1" applyFill="1" applyBorder="1" applyAlignment="1">
      <alignment horizontal="center" vertical="center"/>
    </xf>
    <xf numFmtId="173" fontId="51" fillId="30" borderId="39" xfId="63" applyNumberFormat="1" applyFont="1" applyFill="1" applyBorder="1" applyAlignment="1">
      <alignment horizontal="center" vertical="center"/>
    </xf>
    <xf numFmtId="173" fontId="51" fillId="30" borderId="39" xfId="63" applyNumberFormat="1" applyFont="1" applyFill="1" applyBorder="1" applyAlignment="1">
      <alignment horizontal="left" vertical="center"/>
    </xf>
    <xf numFmtId="176" fontId="55" fillId="30" borderId="0" xfId="62" applyNumberFormat="1" applyFont="1" applyFill="1" applyBorder="1" applyAlignment="1">
      <alignment horizontal="center" vertical="center"/>
    </xf>
    <xf numFmtId="9" fontId="55" fillId="30" borderId="0" xfId="62" applyFont="1" applyFill="1" applyBorder="1" applyAlignment="1">
      <alignment horizontal="center" vertical="center"/>
    </xf>
    <xf numFmtId="9" fontId="55" fillId="30" borderId="15" xfId="62" applyFont="1" applyFill="1" applyBorder="1" applyAlignment="1">
      <alignment horizontal="center" vertical="center"/>
    </xf>
    <xf numFmtId="2" fontId="43" fillId="30" borderId="26" xfId="0" applyNumberFormat="1" applyFont="1" applyFill="1" applyBorder="1" applyAlignment="1">
      <alignment horizontal="right" vertical="center"/>
    </xf>
    <xf numFmtId="175" fontId="55" fillId="30" borderId="26" xfId="62" applyNumberFormat="1" applyFont="1" applyFill="1" applyBorder="1" applyAlignment="1">
      <alignment horizontal="center" vertical="center"/>
    </xf>
    <xf numFmtId="2" fontId="36" fillId="30" borderId="43" xfId="0" applyNumberFormat="1" applyFont="1" applyFill="1" applyBorder="1" applyAlignment="1">
      <alignment horizontal="center" vertical="center" wrapText="1"/>
    </xf>
    <xf numFmtId="0" fontId="41" fillId="30" borderId="44" xfId="34" applyFont="1" applyFill="1" applyBorder="1" applyAlignment="1" applyProtection="1">
      <alignment horizontal="right"/>
    </xf>
    <xf numFmtId="9" fontId="48" fillId="30" borderId="45" xfId="62" applyFont="1" applyFill="1" applyBorder="1" applyAlignment="1">
      <alignment horizontal="center" vertical="center"/>
    </xf>
    <xf numFmtId="2" fontId="36" fillId="30" borderId="16" xfId="0" applyNumberFormat="1" applyFont="1" applyFill="1" applyBorder="1" applyAlignment="1">
      <alignment horizontal="center" vertical="center" wrapText="1"/>
    </xf>
    <xf numFmtId="0" fontId="41" fillId="30" borderId="15" xfId="34" applyFont="1" applyFill="1" applyBorder="1" applyAlignment="1" applyProtection="1">
      <alignment horizontal="right"/>
    </xf>
    <xf numFmtId="9" fontId="48" fillId="30" borderId="34" xfId="62" applyFont="1" applyFill="1" applyBorder="1" applyAlignment="1">
      <alignment horizontal="center" vertical="center"/>
    </xf>
    <xf numFmtId="0" fontId="65" fillId="0" borderId="0" xfId="0" applyFont="1"/>
    <xf numFmtId="0" fontId="70" fillId="24" borderId="22" xfId="41" applyFont="1" applyFill="1" applyBorder="1" applyAlignment="1">
      <alignment horizontal="center" vertical="center"/>
    </xf>
    <xf numFmtId="0" fontId="70" fillId="24" borderId="22" xfId="41" applyFont="1" applyFill="1" applyBorder="1" applyAlignment="1">
      <alignment horizontal="left" vertical="center"/>
    </xf>
    <xf numFmtId="0" fontId="70" fillId="0" borderId="22" xfId="41" applyFont="1" applyFill="1" applyBorder="1" applyAlignment="1">
      <alignment vertical="center"/>
    </xf>
    <xf numFmtId="168" fontId="70" fillId="24" borderId="22" xfId="41" applyNumberFormat="1" applyFont="1" applyFill="1" applyBorder="1" applyAlignment="1" applyProtection="1">
      <alignment horizontal="center" vertical="center"/>
    </xf>
    <xf numFmtId="0" fontId="70" fillId="24" borderId="33" xfId="41" applyFont="1" applyFill="1" applyBorder="1" applyAlignment="1">
      <alignment horizontal="center" vertical="center"/>
    </xf>
    <xf numFmtId="0" fontId="70" fillId="24" borderId="33" xfId="41" applyFont="1" applyFill="1" applyBorder="1" applyAlignment="1">
      <alignment horizontal="left" vertical="center"/>
    </xf>
    <xf numFmtId="0" fontId="70" fillId="0" borderId="33" xfId="41" applyFont="1" applyFill="1" applyBorder="1" applyAlignment="1">
      <alignment vertical="center"/>
    </xf>
    <xf numFmtId="168" fontId="70" fillId="24" borderId="33" xfId="41" applyNumberFormat="1" applyFont="1" applyFill="1" applyBorder="1" applyAlignment="1" applyProtection="1">
      <alignment horizontal="center" vertical="center"/>
    </xf>
    <xf numFmtId="175" fontId="70" fillId="0" borderId="33" xfId="41" applyNumberFormat="1" applyFont="1" applyFill="1" applyBorder="1" applyAlignment="1">
      <alignment horizontal="center" vertical="center"/>
    </xf>
    <xf numFmtId="169" fontId="70" fillId="24" borderId="33" xfId="41" applyNumberFormat="1" applyFont="1" applyFill="1" applyBorder="1" applyAlignment="1">
      <alignment horizontal="left" vertical="center"/>
    </xf>
    <xf numFmtId="0" fontId="70" fillId="24" borderId="17" xfId="41" applyFont="1" applyFill="1" applyBorder="1" applyAlignment="1">
      <alignment vertical="center"/>
    </xf>
    <xf numFmtId="9" fontId="70" fillId="0" borderId="33" xfId="41" applyNumberFormat="1" applyFont="1" applyFill="1" applyBorder="1" applyAlignment="1">
      <alignment horizontal="center" vertical="center"/>
    </xf>
    <xf numFmtId="0" fontId="41" fillId="31" borderId="11" xfId="0" applyFont="1" applyFill="1" applyBorder="1" applyAlignment="1">
      <alignment horizontal="center" vertical="center" wrapText="1"/>
    </xf>
    <xf numFmtId="1" fontId="36" fillId="34" borderId="41" xfId="38" applyNumberFormat="1" applyFont="1" applyFill="1" applyBorder="1" applyAlignment="1">
      <alignment horizontal="center" vertical="center"/>
    </xf>
    <xf numFmtId="173" fontId="36" fillId="35" borderId="40" xfId="63" applyNumberFormat="1" applyFont="1" applyFill="1" applyBorder="1" applyAlignment="1">
      <alignment horizontal="center" vertical="center"/>
    </xf>
    <xf numFmtId="9" fontId="36" fillId="35" borderId="40" xfId="62" applyFont="1" applyFill="1" applyBorder="1" applyAlignment="1">
      <alignment horizontal="right" vertical="center"/>
    </xf>
    <xf numFmtId="173" fontId="36" fillId="35" borderId="40" xfId="63" applyNumberFormat="1" applyFont="1" applyFill="1" applyBorder="1" applyAlignment="1">
      <alignment horizontal="right" vertical="center"/>
    </xf>
    <xf numFmtId="173" fontId="37" fillId="35" borderId="11" xfId="63" applyNumberFormat="1" applyFont="1" applyFill="1" applyBorder="1" applyAlignment="1">
      <alignment horizontal="center" vertical="center" wrapText="1"/>
    </xf>
    <xf numFmtId="0" fontId="37" fillId="34" borderId="11" xfId="38" applyNumberFormat="1" applyFont="1" applyFill="1" applyBorder="1" applyAlignment="1">
      <alignment horizontal="center" vertical="center" wrapText="1"/>
    </xf>
    <xf numFmtId="0" fontId="36" fillId="35" borderId="40" xfId="64" applyFont="1" applyFill="1" applyBorder="1" applyAlignment="1">
      <alignment horizontal="center" vertical="center"/>
    </xf>
    <xf numFmtId="0" fontId="36" fillId="35" borderId="40" xfId="38" applyFont="1" applyFill="1" applyBorder="1" applyAlignment="1">
      <alignment horizontal="center" vertical="center"/>
    </xf>
    <xf numFmtId="171" fontId="36" fillId="35" borderId="40" xfId="38" applyNumberFormat="1" applyFont="1" applyFill="1" applyBorder="1" applyAlignment="1">
      <alignment horizontal="right" vertical="center"/>
    </xf>
    <xf numFmtId="171" fontId="36" fillId="35" borderId="40" xfId="38" applyNumberFormat="1" applyFont="1" applyFill="1" applyBorder="1" applyAlignment="1">
      <alignment vertical="center"/>
    </xf>
    <xf numFmtId="167" fontId="36" fillId="35" borderId="40" xfId="38" applyNumberFormat="1" applyFont="1" applyFill="1" applyBorder="1" applyAlignment="1">
      <alignment horizontal="center" vertical="center"/>
    </xf>
    <xf numFmtId="171" fontId="36" fillId="34" borderId="40" xfId="38" applyNumberFormat="1" applyFont="1" applyFill="1" applyBorder="1" applyAlignment="1">
      <alignment horizontal="right" vertical="center"/>
    </xf>
    <xf numFmtId="170" fontId="36" fillId="37" borderId="40" xfId="38" applyNumberFormat="1" applyFont="1" applyFill="1" applyBorder="1" applyAlignment="1" applyProtection="1">
      <alignment horizontal="left" vertical="center"/>
    </xf>
    <xf numFmtId="1" fontId="36" fillId="34" borderId="49" xfId="38" applyNumberFormat="1" applyFont="1" applyFill="1" applyBorder="1" applyAlignment="1">
      <alignment horizontal="center" vertical="center"/>
    </xf>
    <xf numFmtId="177" fontId="71" fillId="33" borderId="11" xfId="38" applyNumberFormat="1" applyFont="1" applyFill="1" applyBorder="1" applyAlignment="1">
      <alignment vertical="center"/>
    </xf>
    <xf numFmtId="166" fontId="36" fillId="37" borderId="11" xfId="61" applyFont="1" applyFill="1" applyBorder="1" applyAlignment="1" applyProtection="1">
      <alignment horizontal="left" vertical="center"/>
    </xf>
    <xf numFmtId="177" fontId="71" fillId="33" borderId="11" xfId="38" applyNumberFormat="1" applyFont="1" applyFill="1" applyBorder="1" applyAlignment="1">
      <alignment horizontal="center" vertical="center"/>
    </xf>
    <xf numFmtId="0" fontId="36" fillId="0" borderId="11" xfId="0" applyFont="1" applyBorder="1" applyAlignment="1">
      <alignment horizontal="left" vertical="center"/>
    </xf>
    <xf numFmtId="178" fontId="61" fillId="0" borderId="0" xfId="0" applyNumberFormat="1" applyFont="1"/>
    <xf numFmtId="175" fontId="70" fillId="0" borderId="22" xfId="41" applyNumberFormat="1" applyFont="1" applyFill="1" applyBorder="1" applyAlignment="1">
      <alignment horizontal="center" vertical="center"/>
    </xf>
    <xf numFmtId="169" fontId="70" fillId="24" borderId="22" xfId="41" applyNumberFormat="1" applyFont="1" applyFill="1" applyBorder="1" applyAlignment="1">
      <alignment horizontal="left" vertical="center"/>
    </xf>
    <xf numFmtId="0" fontId="68" fillId="30" borderId="11" xfId="0" applyFont="1" applyFill="1" applyBorder="1" applyAlignment="1">
      <alignment horizontal="right"/>
    </xf>
    <xf numFmtId="169" fontId="36" fillId="0" borderId="11" xfId="78" applyNumberFormat="1" applyFont="1" applyBorder="1" applyAlignment="1">
      <alignment vertical="top" wrapText="1"/>
    </xf>
    <xf numFmtId="0" fontId="36" fillId="0" borderId="0" xfId="0" applyFont="1"/>
    <xf numFmtId="0" fontId="75" fillId="0" borderId="0" xfId="0" applyFont="1"/>
    <xf numFmtId="0" fontId="80" fillId="0" borderId="0" xfId="0" applyFont="1"/>
    <xf numFmtId="167" fontId="58" fillId="0" borderId="0" xfId="63" applyFont="1" applyBorder="1" applyAlignment="1"/>
    <xf numFmtId="167" fontId="59" fillId="0" borderId="0" xfId="63" applyFont="1" applyBorder="1" applyAlignment="1"/>
    <xf numFmtId="0" fontId="88" fillId="0" borderId="0" xfId="0" applyFont="1"/>
    <xf numFmtId="173" fontId="58" fillId="0" borderId="0" xfId="63" applyNumberFormat="1" applyFont="1" applyBorder="1"/>
    <xf numFmtId="0" fontId="36" fillId="24" borderId="10" xfId="0" applyFont="1" applyFill="1" applyBorder="1" applyAlignment="1">
      <alignment vertical="top"/>
    </xf>
    <xf numFmtId="2" fontId="37" fillId="24" borderId="12" xfId="0" applyNumberFormat="1" applyFont="1" applyFill="1" applyBorder="1" applyAlignment="1">
      <alignment vertical="center" wrapText="1"/>
    </xf>
    <xf numFmtId="2" fontId="36" fillId="24" borderId="12" xfId="0" applyNumberFormat="1" applyFont="1" applyFill="1" applyBorder="1" applyAlignment="1">
      <alignment vertical="center" wrapText="1"/>
    </xf>
    <xf numFmtId="172" fontId="68" fillId="30" borderId="11" xfId="0" applyNumberFormat="1" applyFont="1" applyFill="1" applyBorder="1"/>
    <xf numFmtId="0" fontId="69" fillId="0" borderId="0" xfId="0" applyFont="1" applyAlignment="1">
      <alignment vertical="top"/>
    </xf>
    <xf numFmtId="0" fontId="75" fillId="24" borderId="10" xfId="0" applyFont="1" applyFill="1" applyBorder="1" applyAlignment="1">
      <alignment vertical="center" wrapText="1"/>
    </xf>
    <xf numFmtId="169" fontId="51" fillId="24" borderId="0" xfId="61" applyNumberFormat="1" applyFont="1" applyFill="1" applyBorder="1" applyAlignment="1">
      <alignment horizontal="justify" vertical="center" wrapText="1"/>
    </xf>
    <xf numFmtId="0" fontId="69" fillId="24" borderId="10" xfId="0" applyFont="1" applyFill="1" applyBorder="1" applyAlignment="1">
      <alignment vertical="top"/>
    </xf>
    <xf numFmtId="169" fontId="50" fillId="24" borderId="0" xfId="75" applyNumberFormat="1" applyFont="1" applyFill="1" applyBorder="1" applyAlignment="1">
      <alignment vertical="center"/>
    </xf>
    <xf numFmtId="169" fontId="90" fillId="24" borderId="0" xfId="75" applyNumberFormat="1" applyFont="1" applyFill="1" applyBorder="1" applyAlignment="1">
      <alignment vertical="center"/>
    </xf>
    <xf numFmtId="169" fontId="92" fillId="24" borderId="0" xfId="75" applyNumberFormat="1" applyFont="1" applyFill="1" applyBorder="1" applyAlignment="1">
      <alignment horizontal="left" vertical="center"/>
    </xf>
    <xf numFmtId="0" fontId="36" fillId="24" borderId="10" xfId="0" applyFont="1" applyFill="1" applyBorder="1" applyAlignment="1">
      <alignment horizontal="center" vertical="center"/>
    </xf>
    <xf numFmtId="0" fontId="36" fillId="0" borderId="10" xfId="0" applyFont="1" applyBorder="1" applyAlignment="1">
      <alignment vertical="top"/>
    </xf>
    <xf numFmtId="0" fontId="36" fillId="24" borderId="16" xfId="0" applyFont="1" applyFill="1" applyBorder="1" applyAlignment="1">
      <alignment vertical="top"/>
    </xf>
    <xf numFmtId="0" fontId="36" fillId="24" borderId="15" xfId="0" applyFont="1" applyFill="1" applyBorder="1" applyAlignment="1">
      <alignment horizontal="center" vertical="center"/>
    </xf>
    <xf numFmtId="2" fontId="36" fillId="24" borderId="15" xfId="0" applyNumberFormat="1" applyFont="1" applyFill="1" applyBorder="1" applyAlignment="1">
      <alignment vertical="top" wrapText="1"/>
    </xf>
    <xf numFmtId="2" fontId="36" fillId="24" borderId="15" xfId="0" applyNumberFormat="1" applyFont="1" applyFill="1" applyBorder="1" applyAlignment="1">
      <alignment horizontal="center" vertical="center" wrapText="1"/>
    </xf>
    <xf numFmtId="2" fontId="36" fillId="24" borderId="15" xfId="0" applyNumberFormat="1" applyFont="1" applyFill="1" applyBorder="1" applyAlignment="1">
      <alignment vertical="center" wrapText="1"/>
    </xf>
    <xf numFmtId="2" fontId="36" fillId="24" borderId="34" xfId="0" applyNumberFormat="1" applyFont="1" applyFill="1" applyBorder="1" applyAlignment="1">
      <alignment vertical="center" wrapText="1"/>
    </xf>
    <xf numFmtId="2" fontId="36" fillId="0" borderId="0" xfId="0" applyNumberFormat="1" applyFont="1" applyAlignment="1">
      <alignment vertical="top" wrapText="1"/>
    </xf>
    <xf numFmtId="168" fontId="36" fillId="0" borderId="0" xfId="0" applyNumberFormat="1" applyFont="1" applyAlignment="1">
      <alignment vertical="center"/>
    </xf>
    <xf numFmtId="0" fontId="96" fillId="36" borderId="11" xfId="0" applyFont="1" applyFill="1" applyBorder="1" applyAlignment="1">
      <alignment horizontal="center" vertical="center" wrapText="1"/>
    </xf>
    <xf numFmtId="0" fontId="97" fillId="36" borderId="47" xfId="0" applyFont="1" applyFill="1" applyBorder="1" applyAlignment="1">
      <alignment horizontal="center" vertical="center"/>
    </xf>
    <xf numFmtId="0" fontId="45" fillId="36" borderId="50" xfId="0" applyFont="1" applyFill="1" applyBorder="1" applyAlignment="1">
      <alignment horizontal="center" vertical="center"/>
    </xf>
    <xf numFmtId="0" fontId="36" fillId="34" borderId="0" xfId="64" applyFont="1" applyFill="1" applyBorder="1" applyAlignment="1">
      <alignment horizontal="justify" vertical="center" wrapText="1"/>
    </xf>
    <xf numFmtId="1" fontId="36" fillId="34" borderId="41" xfId="93" applyNumberFormat="1" applyFont="1" applyFill="1" applyBorder="1" applyAlignment="1">
      <alignment horizontal="center" vertical="center"/>
    </xf>
    <xf numFmtId="1" fontId="36" fillId="34" borderId="49" xfId="93" applyNumberFormat="1" applyFont="1" applyFill="1" applyBorder="1" applyAlignment="1">
      <alignment horizontal="center" vertical="center"/>
    </xf>
    <xf numFmtId="173" fontId="36" fillId="35" borderId="40" xfId="48" applyNumberFormat="1" applyFont="1" applyFill="1" applyBorder="1" applyAlignment="1">
      <alignment horizontal="center" vertical="center"/>
    </xf>
    <xf numFmtId="9" fontId="36" fillId="35" borderId="40" xfId="79" applyFont="1" applyFill="1" applyBorder="1" applyAlignment="1">
      <alignment horizontal="right" vertical="center"/>
    </xf>
    <xf numFmtId="173" fontId="36" fillId="35" borderId="40" xfId="48" applyNumberFormat="1" applyFont="1" applyFill="1" applyBorder="1" applyAlignment="1">
      <alignment horizontal="right" vertical="center"/>
    </xf>
    <xf numFmtId="167" fontId="36" fillId="35" borderId="40" xfId="63" applyFont="1" applyFill="1" applyBorder="1" applyAlignment="1">
      <alignment horizontal="center" vertical="center"/>
    </xf>
    <xf numFmtId="1" fontId="36" fillId="34" borderId="10" xfId="38" applyNumberFormat="1" applyFont="1" applyFill="1" applyBorder="1" applyAlignment="1">
      <alignment horizontal="center" vertical="center"/>
    </xf>
    <xf numFmtId="0" fontId="45" fillId="36" borderId="10" xfId="0" applyFont="1" applyFill="1" applyBorder="1" applyAlignment="1">
      <alignment horizontal="center" vertical="center"/>
    </xf>
    <xf numFmtId="173" fontId="36" fillId="35" borderId="0" xfId="63" applyNumberFormat="1" applyFont="1" applyFill="1" applyBorder="1" applyAlignment="1">
      <alignment horizontal="center" vertical="center"/>
    </xf>
    <xf numFmtId="9" fontId="36" fillId="35" borderId="0" xfId="62" applyFont="1" applyFill="1" applyBorder="1" applyAlignment="1">
      <alignment horizontal="right" vertical="center"/>
    </xf>
    <xf numFmtId="173" fontId="36" fillId="35" borderId="0" xfId="63" applyNumberFormat="1" applyFont="1" applyFill="1" applyBorder="1" applyAlignment="1">
      <alignment horizontal="right" vertical="center"/>
    </xf>
    <xf numFmtId="167" fontId="36" fillId="35" borderId="0" xfId="38" applyNumberFormat="1" applyFont="1" applyFill="1" applyBorder="1" applyAlignment="1">
      <alignment horizontal="center" vertical="center"/>
    </xf>
    <xf numFmtId="171" fontId="36" fillId="35" borderId="0" xfId="38" applyNumberFormat="1" applyFont="1" applyFill="1" applyBorder="1" applyAlignment="1">
      <alignment horizontal="right" vertical="center"/>
    </xf>
    <xf numFmtId="171" fontId="36" fillId="34" borderId="0" xfId="38" applyNumberFormat="1" applyFont="1" applyFill="1" applyBorder="1" applyAlignment="1">
      <alignment horizontal="right" vertical="center"/>
    </xf>
    <xf numFmtId="170" fontId="36" fillId="37" borderId="0" xfId="38" applyNumberFormat="1" applyFont="1" applyFill="1" applyBorder="1" applyAlignment="1" applyProtection="1">
      <alignment horizontal="left" vertical="center"/>
    </xf>
    <xf numFmtId="173" fontId="36" fillId="35" borderId="40" xfId="158" applyNumberFormat="1" applyFont="1" applyFill="1" applyBorder="1" applyAlignment="1">
      <alignment horizontal="center" vertical="center"/>
    </xf>
    <xf numFmtId="14" fontId="67" fillId="24" borderId="0" xfId="0" applyNumberFormat="1" applyFont="1" applyFill="1" applyAlignment="1">
      <alignment horizontal="left" vertical="center"/>
    </xf>
    <xf numFmtId="2" fontId="36" fillId="24" borderId="0" xfId="0" applyNumberFormat="1" applyFont="1" applyFill="1" applyAlignment="1">
      <alignment horizontal="center" vertical="center" wrapText="1"/>
    </xf>
    <xf numFmtId="2" fontId="36" fillId="24" borderId="0" xfId="0" applyNumberFormat="1" applyFont="1" applyFill="1" applyAlignment="1">
      <alignment vertical="center" wrapText="1"/>
    </xf>
    <xf numFmtId="0" fontId="36" fillId="24" borderId="12" xfId="0" applyFont="1" applyFill="1" applyBorder="1" applyAlignment="1">
      <alignment vertical="top"/>
    </xf>
    <xf numFmtId="0" fontId="36" fillId="24" borderId="0" xfId="0" applyFont="1" applyFill="1" applyAlignment="1">
      <alignment horizontal="center" vertical="center"/>
    </xf>
    <xf numFmtId="2" fontId="36" fillId="24" borderId="12" xfId="0" applyNumberFormat="1" applyFont="1" applyFill="1" applyBorder="1" applyAlignment="1">
      <alignment horizontal="center" vertical="center" wrapText="1"/>
    </xf>
    <xf numFmtId="1" fontId="36" fillId="0" borderId="41" xfId="38" applyNumberFormat="1" applyFont="1" applyFill="1" applyBorder="1" applyAlignment="1">
      <alignment horizontal="center" vertical="center"/>
    </xf>
    <xf numFmtId="1" fontId="36" fillId="24" borderId="41" xfId="38" applyNumberFormat="1" applyFont="1" applyFill="1" applyBorder="1" applyAlignment="1">
      <alignment horizontal="center" vertical="center"/>
    </xf>
    <xf numFmtId="165" fontId="36" fillId="0" borderId="12" xfId="45" applyNumberFormat="1" applyFont="1" applyBorder="1" applyAlignment="1">
      <alignment vertical="center"/>
    </xf>
    <xf numFmtId="169" fontId="70" fillId="24" borderId="55" xfId="41" applyNumberFormat="1" applyFont="1" applyFill="1" applyBorder="1" applyAlignment="1">
      <alignment vertical="center"/>
    </xf>
    <xf numFmtId="0" fontId="70" fillId="24" borderId="54" xfId="41" applyFont="1" applyFill="1" applyBorder="1" applyAlignment="1">
      <alignment vertical="center"/>
    </xf>
    <xf numFmtId="169" fontId="70" fillId="24" borderId="56" xfId="41" applyNumberFormat="1" applyFont="1" applyFill="1" applyBorder="1" applyAlignment="1">
      <alignment vertical="center"/>
    </xf>
    <xf numFmtId="0" fontId="70" fillId="24" borderId="59" xfId="41" applyFont="1" applyFill="1" applyBorder="1" applyAlignment="1">
      <alignment horizontal="center" vertical="center"/>
    </xf>
    <xf numFmtId="0" fontId="70" fillId="24" borderId="59" xfId="41" applyFont="1" applyFill="1" applyBorder="1" applyAlignment="1">
      <alignment horizontal="left" vertical="center"/>
    </xf>
    <xf numFmtId="0" fontId="70" fillId="0" borderId="59" xfId="41" applyFont="1" applyFill="1" applyBorder="1" applyAlignment="1">
      <alignment vertical="center"/>
    </xf>
    <xf numFmtId="168" fontId="70" fillId="24" borderId="59" xfId="41" applyNumberFormat="1" applyFont="1" applyFill="1" applyBorder="1" applyAlignment="1" applyProtection="1">
      <alignment horizontal="center" vertical="center"/>
    </xf>
    <xf numFmtId="0" fontId="70" fillId="24" borderId="59" xfId="41" applyFont="1" applyFill="1" applyBorder="1" applyAlignment="1">
      <alignment vertical="center"/>
    </xf>
    <xf numFmtId="170" fontId="70" fillId="24" borderId="59" xfId="41" applyNumberFormat="1" applyFont="1" applyFill="1" applyBorder="1" applyAlignment="1">
      <alignment horizontal="left" vertical="center"/>
    </xf>
    <xf numFmtId="164" fontId="70" fillId="0" borderId="60" xfId="41" applyNumberFormat="1" applyFont="1" applyFill="1" applyBorder="1" applyAlignment="1">
      <alignment vertical="center"/>
    </xf>
    <xf numFmtId="1" fontId="36" fillId="24" borderId="61" xfId="64" applyNumberFormat="1" applyFont="1" applyFill="1" applyBorder="1" applyAlignment="1">
      <alignment horizontal="center" vertical="center"/>
    </xf>
    <xf numFmtId="1" fontId="36" fillId="34" borderId="61" xfId="38" applyNumberFormat="1" applyFont="1" applyFill="1" applyBorder="1" applyAlignment="1">
      <alignment horizontal="center" vertical="center"/>
    </xf>
    <xf numFmtId="1" fontId="36" fillId="34" borderId="62" xfId="38" applyNumberFormat="1" applyFont="1" applyFill="1" applyBorder="1" applyAlignment="1">
      <alignment horizontal="center" vertical="center"/>
    </xf>
    <xf numFmtId="0" fontId="45" fillId="36" borderId="63" xfId="0" applyFont="1" applyFill="1" applyBorder="1" applyAlignment="1">
      <alignment horizontal="center" vertical="center"/>
    </xf>
    <xf numFmtId="173" fontId="36" fillId="35" borderId="64" xfId="63" applyNumberFormat="1" applyFont="1" applyFill="1" applyBorder="1" applyAlignment="1">
      <alignment horizontal="center" vertical="center"/>
    </xf>
    <xf numFmtId="9" fontId="36" fillId="35" borderId="64" xfId="62" applyFont="1" applyFill="1" applyBorder="1" applyAlignment="1">
      <alignment horizontal="right" vertical="center"/>
    </xf>
    <xf numFmtId="173" fontId="36" fillId="35" borderId="64" xfId="63" applyNumberFormat="1" applyFont="1" applyFill="1" applyBorder="1" applyAlignment="1">
      <alignment horizontal="right" vertical="center"/>
    </xf>
    <xf numFmtId="0" fontId="97" fillId="36" borderId="65" xfId="0" applyFont="1" applyFill="1" applyBorder="1" applyAlignment="1">
      <alignment horizontal="center" vertical="center"/>
    </xf>
    <xf numFmtId="174" fontId="36" fillId="35" borderId="64" xfId="94" applyNumberFormat="1" applyFont="1" applyFill="1" applyBorder="1" applyAlignment="1">
      <alignment horizontal="center" vertical="center"/>
    </xf>
    <xf numFmtId="167" fontId="36" fillId="35" borderId="64" xfId="38" applyNumberFormat="1" applyFont="1" applyFill="1" applyBorder="1" applyAlignment="1">
      <alignment horizontal="center" vertical="center"/>
    </xf>
    <xf numFmtId="171" fontId="36" fillId="35" borderId="64" xfId="38" applyNumberFormat="1" applyFont="1" applyFill="1" applyBorder="1" applyAlignment="1">
      <alignment horizontal="right" vertical="center"/>
    </xf>
    <xf numFmtId="171" fontId="36" fillId="34" borderId="64" xfId="38" applyNumberFormat="1" applyFont="1" applyFill="1" applyBorder="1" applyAlignment="1">
      <alignment horizontal="right" vertical="center"/>
    </xf>
    <xf numFmtId="170" fontId="36" fillId="37" borderId="64" xfId="38" applyNumberFormat="1" applyFont="1" applyFill="1" applyBorder="1" applyAlignment="1" applyProtection="1">
      <alignment horizontal="left" vertical="center"/>
    </xf>
    <xf numFmtId="0" fontId="70" fillId="0" borderId="11" xfId="41" applyFont="1" applyFill="1" applyBorder="1" applyAlignment="1">
      <alignment vertical="center"/>
    </xf>
    <xf numFmtId="0" fontId="70" fillId="24" borderId="11" xfId="41" applyFont="1" applyFill="1" applyBorder="1" applyAlignment="1">
      <alignment horizontal="right" vertical="center"/>
    </xf>
    <xf numFmtId="173" fontId="70" fillId="0" borderId="11" xfId="63" applyNumberFormat="1" applyFont="1" applyFill="1" applyBorder="1" applyAlignment="1">
      <alignment vertical="center"/>
    </xf>
    <xf numFmtId="164" fontId="70" fillId="0" borderId="11" xfId="41" applyNumberFormat="1" applyFont="1" applyFill="1" applyBorder="1" applyAlignment="1">
      <alignment vertical="center"/>
    </xf>
    <xf numFmtId="164" fontId="70" fillId="24" borderId="11" xfId="41" applyNumberFormat="1" applyFont="1" applyFill="1" applyBorder="1" applyAlignment="1">
      <alignment vertical="center"/>
    </xf>
    <xf numFmtId="166" fontId="43" fillId="28" borderId="11" xfId="78" applyFont="1" applyFill="1" applyBorder="1" applyAlignment="1">
      <alignment horizontal="center" vertical="center" wrapText="1"/>
    </xf>
    <xf numFmtId="169" fontId="43" fillId="25" borderId="11" xfId="78" applyNumberFormat="1" applyFont="1" applyFill="1" applyBorder="1" applyAlignment="1">
      <alignment horizontal="center" vertical="center" wrapText="1"/>
    </xf>
    <xf numFmtId="166" fontId="37" fillId="28" borderId="11" xfId="78" applyFont="1" applyFill="1" applyBorder="1" applyAlignment="1">
      <alignment vertical="center" wrapText="1"/>
    </xf>
    <xf numFmtId="169" fontId="37" fillId="25" borderId="11" xfId="78" applyNumberFormat="1" applyFont="1" applyFill="1" applyBorder="1" applyAlignment="1">
      <alignment vertical="center" wrapText="1"/>
    </xf>
    <xf numFmtId="166" fontId="58" fillId="28" borderId="11" xfId="78" applyFont="1" applyFill="1" applyBorder="1" applyAlignment="1">
      <alignment horizontal="right" vertical="center" wrapText="1"/>
    </xf>
    <xf numFmtId="175" fontId="58" fillId="25" borderId="11" xfId="62" applyNumberFormat="1" applyFont="1" applyFill="1" applyBorder="1" applyAlignment="1">
      <alignment horizontal="left" vertical="center" wrapText="1"/>
    </xf>
    <xf numFmtId="175" fontId="58" fillId="25" borderId="11" xfId="79" applyNumberFormat="1" applyFont="1" applyFill="1" applyBorder="1" applyAlignment="1">
      <alignment horizontal="left" vertical="center" wrapText="1"/>
    </xf>
    <xf numFmtId="166" fontId="100" fillId="28" borderId="11" xfId="78" applyFont="1" applyFill="1" applyBorder="1" applyAlignment="1">
      <alignment vertical="center"/>
    </xf>
    <xf numFmtId="169" fontId="37" fillId="25" borderId="11" xfId="78" applyNumberFormat="1" applyFont="1" applyFill="1" applyBorder="1" applyAlignment="1">
      <alignment vertical="center"/>
    </xf>
    <xf numFmtId="166" fontId="37" fillId="28" borderId="11" xfId="78" applyFont="1" applyFill="1" applyBorder="1" applyAlignment="1">
      <alignment vertical="center"/>
    </xf>
    <xf numFmtId="0" fontId="36" fillId="0" borderId="11" xfId="0" applyFont="1" applyBorder="1" applyAlignment="1">
      <alignment vertical="top"/>
    </xf>
    <xf numFmtId="169" fontId="37" fillId="25" borderId="11" xfId="78" applyNumberFormat="1" applyFont="1" applyFill="1" applyBorder="1" applyAlignment="1">
      <alignment vertical="top"/>
    </xf>
    <xf numFmtId="165" fontId="36" fillId="0" borderId="53" xfId="45" applyNumberFormat="1" applyFont="1" applyBorder="1" applyAlignment="1">
      <alignment vertical="center"/>
    </xf>
    <xf numFmtId="0" fontId="41" fillId="31" borderId="48" xfId="0" applyFont="1" applyFill="1" applyBorder="1" applyAlignment="1">
      <alignment horizontal="center" vertical="center" wrapText="1"/>
    </xf>
    <xf numFmtId="1" fontId="36" fillId="34" borderId="68" xfId="38" applyNumberFormat="1" applyFont="1" applyFill="1" applyBorder="1" applyAlignment="1">
      <alignment horizontal="center" vertical="center"/>
    </xf>
    <xf numFmtId="0" fontId="62" fillId="7" borderId="69" xfId="84" applyFont="1" applyBorder="1" applyAlignment="1">
      <alignment horizontal="justify" vertical="center"/>
    </xf>
    <xf numFmtId="0" fontId="36" fillId="34" borderId="68" xfId="38" applyNumberFormat="1" applyFont="1" applyFill="1" applyBorder="1" applyAlignment="1">
      <alignment vertical="center" wrapText="1"/>
    </xf>
    <xf numFmtId="0" fontId="46" fillId="26" borderId="68" xfId="94" applyFont="1" applyFill="1" applyBorder="1" applyAlignment="1">
      <alignment horizontal="center" vertical="center" wrapText="1"/>
    </xf>
    <xf numFmtId="0" fontId="36" fillId="34" borderId="68" xfId="94" applyFont="1" applyFill="1" applyBorder="1" applyAlignment="1">
      <alignment horizontal="justify" vertical="center" wrapText="1"/>
    </xf>
    <xf numFmtId="0" fontId="36" fillId="34" borderId="68" xfId="64" applyFont="1" applyFill="1" applyBorder="1" applyAlignment="1">
      <alignment horizontal="justify" vertical="center" wrapText="1"/>
    </xf>
    <xf numFmtId="0" fontId="36" fillId="34" borderId="68" xfId="94" applyFont="1" applyFill="1" applyBorder="1" applyAlignment="1">
      <alignment horizontal="right" vertical="center" wrapText="1"/>
    </xf>
    <xf numFmtId="0" fontId="36" fillId="34" borderId="70" xfId="64" applyFont="1" applyFill="1" applyBorder="1" applyAlignment="1">
      <alignment horizontal="justify" vertical="center" wrapText="1"/>
    </xf>
    <xf numFmtId="1" fontId="36" fillId="34" borderId="71" xfId="38" applyNumberFormat="1" applyFont="1" applyFill="1" applyBorder="1" applyAlignment="1">
      <alignment horizontal="center" vertical="center"/>
    </xf>
    <xf numFmtId="1" fontId="36" fillId="34" borderId="71" xfId="93" applyNumberFormat="1" applyFont="1" applyFill="1" applyBorder="1" applyAlignment="1">
      <alignment horizontal="center" vertical="center"/>
    </xf>
    <xf numFmtId="1" fontId="36" fillId="34" borderId="72" xfId="38" applyNumberFormat="1" applyFont="1" applyFill="1" applyBorder="1" applyAlignment="1">
      <alignment horizontal="center" vertical="center"/>
    </xf>
    <xf numFmtId="1" fontId="36" fillId="34" borderId="73" xfId="38" applyNumberFormat="1" applyFont="1" applyFill="1" applyBorder="1" applyAlignment="1">
      <alignment horizontal="center" vertical="center"/>
    </xf>
    <xf numFmtId="2" fontId="54" fillId="30" borderId="44" xfId="0" applyNumberFormat="1" applyFont="1" applyFill="1" applyBorder="1" applyAlignment="1">
      <alignment horizontal="right"/>
    </xf>
    <xf numFmtId="2" fontId="44" fillId="30" borderId="44" xfId="0" applyNumberFormat="1" applyFont="1" applyFill="1" applyBorder="1" applyAlignment="1">
      <alignment horizontal="right" vertical="center"/>
    </xf>
    <xf numFmtId="169" fontId="54" fillId="24" borderId="43" xfId="61" applyNumberFormat="1" applyFont="1" applyFill="1" applyBorder="1" applyAlignment="1">
      <alignment horizontal="left" vertical="center" wrapText="1"/>
    </xf>
    <xf numFmtId="2" fontId="36" fillId="24" borderId="45" xfId="0" applyNumberFormat="1" applyFont="1" applyFill="1" applyBorder="1" applyAlignment="1">
      <alignment vertical="center" wrapText="1"/>
    </xf>
    <xf numFmtId="2" fontId="36" fillId="30" borderId="10" xfId="0" applyNumberFormat="1" applyFont="1" applyFill="1" applyBorder="1" applyAlignment="1">
      <alignment horizontal="center" vertical="center" wrapText="1"/>
    </xf>
    <xf numFmtId="0" fontId="42" fillId="24" borderId="12" xfId="0" applyFont="1" applyFill="1" applyBorder="1" applyAlignment="1">
      <alignment horizontal="left" vertical="center"/>
    </xf>
    <xf numFmtId="0" fontId="37" fillId="30" borderId="15" xfId="0" applyFont="1" applyFill="1" applyBorder="1" applyAlignment="1">
      <alignment horizontal="center" vertical="center"/>
    </xf>
    <xf numFmtId="2" fontId="49" fillId="30" borderId="15" xfId="0" applyNumberFormat="1" applyFont="1" applyFill="1" applyBorder="1" applyAlignment="1">
      <alignment horizontal="right" vertical="center"/>
    </xf>
    <xf numFmtId="169" fontId="44" fillId="24" borderId="16" xfId="61" applyNumberFormat="1" applyFont="1" applyFill="1" applyBorder="1" applyAlignment="1">
      <alignment horizontal="left" vertical="center" wrapText="1"/>
    </xf>
    <xf numFmtId="2" fontId="37" fillId="24" borderId="44" xfId="0" applyNumberFormat="1" applyFont="1" applyFill="1" applyBorder="1" applyAlignment="1">
      <alignment horizontal="left" vertical="center"/>
    </xf>
    <xf numFmtId="0" fontId="42" fillId="24" borderId="16" xfId="0" applyFont="1" applyFill="1" applyBorder="1" applyAlignment="1">
      <alignment horizontal="left" vertical="center"/>
    </xf>
    <xf numFmtId="0" fontId="42" fillId="24" borderId="15" xfId="0" applyFont="1" applyFill="1" applyBorder="1" applyAlignment="1">
      <alignment horizontal="left" vertical="center"/>
    </xf>
    <xf numFmtId="0" fontId="42" fillId="24" borderId="15" xfId="0" applyFont="1" applyFill="1" applyBorder="1" applyAlignment="1">
      <alignment horizontal="center" vertical="center"/>
    </xf>
    <xf numFmtId="0" fontId="69" fillId="30" borderId="67" xfId="0" applyFont="1" applyFill="1" applyBorder="1"/>
    <xf numFmtId="0" fontId="68" fillId="30" borderId="39" xfId="0" applyFont="1" applyFill="1" applyBorder="1" applyAlignment="1">
      <alignment horizontal="center" vertical="center"/>
    </xf>
    <xf numFmtId="0" fontId="36" fillId="30" borderId="39" xfId="0" applyFont="1" applyFill="1" applyBorder="1" applyAlignment="1">
      <alignment horizontal="center" vertical="center"/>
    </xf>
    <xf numFmtId="14" fontId="67" fillId="30" borderId="48" xfId="0" applyNumberFormat="1" applyFont="1" applyFill="1" applyBorder="1" applyAlignment="1">
      <alignment horizontal="left" vertical="center"/>
    </xf>
    <xf numFmtId="2" fontId="36" fillId="30" borderId="44" xfId="0" applyNumberFormat="1" applyFont="1" applyFill="1" applyBorder="1" applyAlignment="1">
      <alignment horizontal="center" vertical="center" wrapText="1"/>
    </xf>
    <xf numFmtId="0" fontId="68" fillId="30" borderId="44" xfId="0" applyFont="1" applyFill="1" applyBorder="1" applyAlignment="1">
      <alignment horizontal="right"/>
    </xf>
    <xf numFmtId="14" fontId="67" fillId="30" borderId="44" xfId="0" applyNumberFormat="1" applyFont="1" applyFill="1" applyBorder="1" applyAlignment="1">
      <alignment horizontal="left"/>
    </xf>
    <xf numFmtId="0" fontId="36" fillId="30" borderId="44" xfId="0" applyFont="1" applyFill="1" applyBorder="1" applyAlignment="1">
      <alignment horizontal="center" vertical="center"/>
    </xf>
    <xf numFmtId="2" fontId="36" fillId="30" borderId="44" xfId="0" applyNumberFormat="1" applyFont="1" applyFill="1" applyBorder="1" applyAlignment="1">
      <alignment vertical="center" wrapText="1"/>
    </xf>
    <xf numFmtId="2" fontId="36" fillId="30" borderId="45" xfId="0" applyNumberFormat="1" applyFont="1" applyFill="1" applyBorder="1" applyAlignment="1">
      <alignment vertical="center" wrapText="1"/>
    </xf>
    <xf numFmtId="2" fontId="36" fillId="30" borderId="12" xfId="0" applyNumberFormat="1" applyFont="1" applyFill="1" applyBorder="1" applyAlignment="1">
      <alignment vertical="center" wrapText="1"/>
    </xf>
    <xf numFmtId="2" fontId="36" fillId="30" borderId="15" xfId="0" applyNumberFormat="1" applyFont="1" applyFill="1" applyBorder="1" applyAlignment="1">
      <alignment horizontal="center" vertical="center" wrapText="1"/>
    </xf>
    <xf numFmtId="2" fontId="51" fillId="30" borderId="15" xfId="0" applyNumberFormat="1" applyFont="1" applyFill="1" applyBorder="1" applyAlignment="1">
      <alignment horizontal="right"/>
    </xf>
    <xf numFmtId="0" fontId="36" fillId="30" borderId="15" xfId="0" applyFont="1" applyFill="1" applyBorder="1" applyAlignment="1">
      <alignment horizontal="center" vertical="center"/>
    </xf>
    <xf numFmtId="2" fontId="36" fillId="30" borderId="15" xfId="0" applyNumberFormat="1" applyFont="1" applyFill="1" applyBorder="1" applyAlignment="1">
      <alignment vertical="center" wrapText="1"/>
    </xf>
    <xf numFmtId="2" fontId="36" fillId="30" borderId="34" xfId="0" applyNumberFormat="1" applyFont="1" applyFill="1" applyBorder="1" applyAlignment="1">
      <alignment vertical="center" wrapText="1"/>
    </xf>
    <xf numFmtId="0" fontId="101" fillId="40" borderId="38" xfId="89" applyFont="1" applyFill="1" applyBorder="1" applyAlignment="1">
      <alignment horizontal="center" vertical="center"/>
    </xf>
    <xf numFmtId="0" fontId="101" fillId="40" borderId="24" xfId="89" applyFont="1" applyFill="1" applyBorder="1" applyAlignment="1">
      <alignment horizontal="center" vertical="center"/>
    </xf>
    <xf numFmtId="0" fontId="101" fillId="40" borderId="15" xfId="89" applyFont="1" applyFill="1" applyBorder="1" applyAlignment="1">
      <alignment vertical="center"/>
    </xf>
    <xf numFmtId="173" fontId="101" fillId="40" borderId="15" xfId="48" applyNumberFormat="1" applyFont="1" applyFill="1" applyBorder="1" applyAlignment="1">
      <alignment horizontal="center" vertical="center"/>
    </xf>
    <xf numFmtId="173" fontId="101" fillId="40" borderId="15" xfId="48" applyNumberFormat="1" applyFont="1" applyFill="1" applyBorder="1" applyAlignment="1">
      <alignment vertical="center"/>
    </xf>
    <xf numFmtId="164" fontId="101" fillId="40" borderId="24" xfId="89" applyNumberFormat="1" applyFont="1" applyFill="1" applyBorder="1" applyAlignment="1">
      <alignment vertical="center"/>
    </xf>
    <xf numFmtId="0" fontId="36" fillId="0" borderId="10" xfId="0" applyFont="1" applyBorder="1"/>
    <xf numFmtId="0" fontId="36" fillId="0" borderId="12" xfId="0" applyFont="1" applyBorder="1"/>
    <xf numFmtId="0" fontId="80" fillId="0" borderId="10" xfId="0" applyFont="1" applyBorder="1"/>
    <xf numFmtId="0" fontId="82" fillId="0" borderId="0" xfId="0" applyFont="1"/>
    <xf numFmtId="0" fontId="80" fillId="0" borderId="12" xfId="0" applyFont="1" applyBorder="1"/>
    <xf numFmtId="0" fontId="87" fillId="0" borderId="0" xfId="0" applyFont="1"/>
    <xf numFmtId="0" fontId="58" fillId="0" borderId="0" xfId="0" applyFont="1"/>
    <xf numFmtId="175" fontId="58" fillId="0" borderId="0" xfId="0" applyNumberFormat="1" applyFont="1"/>
    <xf numFmtId="0" fontId="87" fillId="0" borderId="0" xfId="0" applyFont="1" applyAlignment="1">
      <alignment vertical="center"/>
    </xf>
    <xf numFmtId="0" fontId="88" fillId="0" borderId="10" xfId="0" applyFont="1" applyBorder="1"/>
    <xf numFmtId="0" fontId="58" fillId="0" borderId="0" xfId="0" applyFont="1" applyAlignment="1">
      <alignment horizontal="center"/>
    </xf>
    <xf numFmtId="0" fontId="82" fillId="0" borderId="0" xfId="0" applyFont="1" applyAlignment="1">
      <alignment vertical="top"/>
    </xf>
    <xf numFmtId="0" fontId="36" fillId="0" borderId="16" xfId="0" applyFont="1" applyBorder="1"/>
    <xf numFmtId="0" fontId="36" fillId="0" borderId="15" xfId="0" applyFont="1" applyBorder="1"/>
    <xf numFmtId="0" fontId="36" fillId="0" borderId="34" xfId="0" applyFont="1" applyBorder="1"/>
    <xf numFmtId="2" fontId="36" fillId="24" borderId="0" xfId="0" applyNumberFormat="1" applyFont="1" applyFill="1" applyAlignment="1">
      <alignment vertical="top" wrapText="1"/>
    </xf>
    <xf numFmtId="2" fontId="37" fillId="24" borderId="0" xfId="0" applyNumberFormat="1" applyFont="1" applyFill="1" applyAlignment="1">
      <alignment vertical="center" wrapText="1"/>
    </xf>
    <xf numFmtId="0" fontId="68" fillId="24" borderId="0" xfId="0" applyFont="1" applyFill="1" applyAlignment="1">
      <alignment horizontal="right"/>
    </xf>
    <xf numFmtId="172" fontId="50" fillId="24" borderId="0" xfId="0" applyNumberFormat="1" applyFont="1" applyFill="1"/>
    <xf numFmtId="172" fontId="67" fillId="24" borderId="0" xfId="0" applyNumberFormat="1" applyFont="1" applyFill="1" applyAlignment="1">
      <alignment horizontal="left"/>
    </xf>
    <xf numFmtId="172" fontId="67" fillId="24" borderId="0" xfId="0" applyNumberFormat="1" applyFont="1" applyFill="1" applyAlignment="1">
      <alignment horizontal="left" vertical="top"/>
    </xf>
    <xf numFmtId="0" fontId="68" fillId="24" borderId="0" xfId="0" applyFont="1" applyFill="1" applyAlignment="1">
      <alignment horizontal="right" vertical="center"/>
    </xf>
    <xf numFmtId="0" fontId="69" fillId="24" borderId="0" xfId="0" applyFont="1" applyFill="1" applyAlignment="1">
      <alignment horizontal="center" vertical="center"/>
    </xf>
    <xf numFmtId="0" fontId="36" fillId="24" borderId="0" xfId="0" applyFont="1" applyFill="1" applyAlignment="1">
      <alignment vertical="center"/>
    </xf>
    <xf numFmtId="0" fontId="69" fillId="24" borderId="0" xfId="0" applyFont="1" applyFill="1" applyAlignment="1">
      <alignment horizontal="left" vertical="center"/>
    </xf>
    <xf numFmtId="169" fontId="69" fillId="24" borderId="0" xfId="61" applyNumberFormat="1" applyFont="1" applyFill="1" applyBorder="1" applyAlignment="1">
      <alignment vertical="center"/>
    </xf>
    <xf numFmtId="169" fontId="69" fillId="24" borderId="0" xfId="61" applyNumberFormat="1" applyFont="1" applyFill="1" applyBorder="1" applyAlignment="1">
      <alignment vertical="center" wrapText="1"/>
    </xf>
    <xf numFmtId="49" fontId="69" fillId="24" borderId="0" xfId="0" applyNumberFormat="1" applyFont="1" applyFill="1" applyAlignment="1">
      <alignment vertical="center" wrapText="1"/>
    </xf>
    <xf numFmtId="2" fontId="69" fillId="24" borderId="0" xfId="0" applyNumberFormat="1" applyFont="1" applyFill="1" applyAlignment="1">
      <alignment vertical="center" wrapText="1"/>
    </xf>
    <xf numFmtId="0" fontId="69" fillId="24" borderId="0" xfId="0" applyFont="1" applyFill="1" applyAlignment="1">
      <alignment vertical="center"/>
    </xf>
    <xf numFmtId="2" fontId="91" fillId="24" borderId="0" xfId="0" applyNumberFormat="1" applyFont="1" applyFill="1" applyAlignment="1">
      <alignment vertical="center" wrapText="1"/>
    </xf>
    <xf numFmtId="2" fontId="49" fillId="24" borderId="0" xfId="0" applyNumberFormat="1" applyFont="1" applyFill="1" applyAlignment="1">
      <alignment horizontal="center" vertical="center" wrapText="1"/>
    </xf>
    <xf numFmtId="0" fontId="69" fillId="24" borderId="0" xfId="0" applyFont="1" applyFill="1" applyAlignment="1">
      <alignment vertical="top"/>
    </xf>
    <xf numFmtId="2" fontId="93" fillId="24" borderId="0" xfId="0" applyNumberFormat="1" applyFont="1" applyFill="1" applyAlignment="1">
      <alignment vertical="center" wrapText="1"/>
    </xf>
    <xf numFmtId="0" fontId="51" fillId="24" borderId="0" xfId="0" applyFont="1" applyFill="1" applyAlignment="1">
      <alignment horizontal="left" vertical="center" wrapText="1"/>
    </xf>
    <xf numFmtId="0" fontId="95" fillId="24" borderId="0" xfId="0" applyFont="1" applyFill="1" applyAlignment="1">
      <alignment horizontal="center" vertical="center"/>
    </xf>
    <xf numFmtId="0" fontId="73" fillId="33" borderId="11" xfId="77" applyFont="1" applyFill="1" applyBorder="1" applyAlignment="1">
      <alignment horizontal="center" vertical="center" wrapText="1"/>
    </xf>
    <xf numFmtId="169" fontId="51" fillId="24" borderId="11" xfId="61" applyNumberFormat="1" applyFont="1" applyFill="1" applyBorder="1" applyAlignment="1">
      <alignment horizontal="justify" vertical="center" wrapText="1"/>
    </xf>
    <xf numFmtId="9" fontId="44" fillId="32" borderId="11" xfId="79" applyFont="1" applyFill="1" applyBorder="1" applyAlignment="1">
      <alignment horizontal="center" vertical="center"/>
    </xf>
    <xf numFmtId="0" fontId="94" fillId="37" borderId="11" xfId="0" applyFont="1" applyFill="1" applyBorder="1" applyAlignment="1">
      <alignment horizontal="right" vertical="center"/>
    </xf>
    <xf numFmtId="0" fontId="37" fillId="37" borderId="11" xfId="0" applyFont="1" applyFill="1" applyBorder="1" applyAlignment="1">
      <alignment horizontal="right" vertical="center"/>
    </xf>
    <xf numFmtId="169" fontId="37" fillId="37" borderId="11" xfId="61" applyNumberFormat="1" applyFont="1" applyFill="1" applyBorder="1" applyAlignment="1">
      <alignment horizontal="left" vertical="top" wrapText="1"/>
    </xf>
    <xf numFmtId="169" fontId="37" fillId="37" borderId="11" xfId="61" applyNumberFormat="1" applyFont="1" applyFill="1" applyBorder="1" applyAlignment="1">
      <alignment horizontal="center" vertical="center" wrapText="1"/>
    </xf>
    <xf numFmtId="0" fontId="46" fillId="38" borderId="11" xfId="0" applyFont="1" applyFill="1" applyBorder="1" applyAlignment="1">
      <alignment horizontal="center" vertical="center"/>
    </xf>
    <xf numFmtId="0" fontId="46" fillId="38" borderId="11" xfId="0" applyFont="1" applyFill="1" applyBorder="1" applyAlignment="1">
      <alignment horizontal="left" vertical="center"/>
    </xf>
    <xf numFmtId="2" fontId="46" fillId="38" borderId="11" xfId="0" applyNumberFormat="1" applyFont="1" applyFill="1" applyBorder="1" applyAlignment="1">
      <alignment horizontal="center" vertical="center" wrapText="1"/>
    </xf>
    <xf numFmtId="2" fontId="46" fillId="38" borderId="11" xfId="0" applyNumberFormat="1" applyFont="1" applyFill="1" applyBorder="1" applyAlignment="1">
      <alignment vertical="center" wrapText="1"/>
    </xf>
    <xf numFmtId="169" fontId="36" fillId="0" borderId="11" xfId="61" applyNumberFormat="1" applyFont="1" applyBorder="1" applyAlignment="1">
      <alignment horizontal="center" vertical="center" wrapText="1"/>
    </xf>
    <xf numFmtId="175" fontId="36" fillId="0" borderId="11" xfId="62" applyNumberFormat="1" applyFont="1" applyBorder="1" applyAlignment="1">
      <alignment horizontal="center" vertical="center" wrapText="1"/>
    </xf>
    <xf numFmtId="0" fontId="94" fillId="35" borderId="11" xfId="0" applyFont="1" applyFill="1" applyBorder="1" applyAlignment="1">
      <alignment horizontal="right" vertical="center"/>
    </xf>
    <xf numFmtId="0" fontId="37" fillId="35" borderId="11" xfId="0" applyFont="1" applyFill="1" applyBorder="1" applyAlignment="1">
      <alignment horizontal="right" vertical="center"/>
    </xf>
    <xf numFmtId="169" fontId="37" fillId="35" borderId="11" xfId="61" applyNumberFormat="1" applyFont="1" applyFill="1" applyBorder="1" applyAlignment="1">
      <alignment vertical="top" wrapText="1"/>
    </xf>
    <xf numFmtId="169" fontId="37" fillId="35" borderId="11" xfId="61" applyNumberFormat="1" applyFont="1" applyFill="1" applyBorder="1" applyAlignment="1">
      <alignment horizontal="center" vertical="top" wrapText="1"/>
    </xf>
    <xf numFmtId="9" fontId="36" fillId="35" borderId="11" xfId="0" applyNumberFormat="1" applyFont="1" applyFill="1" applyBorder="1" applyAlignment="1">
      <alignment horizontal="center" vertical="center" wrapText="1"/>
    </xf>
    <xf numFmtId="169" fontId="37" fillId="35" borderId="11" xfId="61" applyNumberFormat="1" applyFont="1" applyFill="1" applyBorder="1" applyAlignment="1">
      <alignment horizontal="left" vertical="top" wrapText="1"/>
    </xf>
    <xf numFmtId="169" fontId="37" fillId="35" borderId="11" xfId="61" applyNumberFormat="1" applyFont="1" applyFill="1" applyBorder="1" applyAlignment="1">
      <alignment horizontal="center" vertical="center" wrapText="1"/>
    </xf>
    <xf numFmtId="175" fontId="36" fillId="35" borderId="11" xfId="0" applyNumberFormat="1" applyFont="1" applyFill="1" applyBorder="1" applyAlignment="1">
      <alignment horizontal="center" vertical="center" wrapText="1"/>
    </xf>
    <xf numFmtId="2" fontId="36" fillId="37" borderId="11" xfId="0" applyNumberFormat="1" applyFont="1" applyFill="1" applyBorder="1" applyAlignment="1">
      <alignment horizontal="center" vertical="center" wrapText="1"/>
    </xf>
    <xf numFmtId="169" fontId="37" fillId="32" borderId="11" xfId="78" applyNumberFormat="1" applyFont="1" applyFill="1" applyBorder="1" applyAlignment="1">
      <alignment horizontal="center" vertical="center" wrapText="1"/>
    </xf>
    <xf numFmtId="2" fontId="48" fillId="32" borderId="11" xfId="0" applyNumberFormat="1" applyFont="1" applyFill="1" applyBorder="1" applyAlignment="1">
      <alignment horizontal="center" vertical="center" wrapText="1"/>
    </xf>
    <xf numFmtId="169" fontId="36" fillId="0" borderId="11" xfId="78" applyNumberFormat="1" applyFont="1" applyBorder="1" applyAlignment="1">
      <alignment vertical="center" wrapText="1"/>
    </xf>
    <xf numFmtId="169" fontId="36" fillId="24" borderId="11" xfId="78" applyNumberFormat="1" applyFont="1" applyFill="1" applyBorder="1" applyAlignment="1">
      <alignment vertical="center"/>
    </xf>
    <xf numFmtId="169" fontId="36" fillId="37" borderId="11" xfId="78" applyNumberFormat="1" applyFont="1" applyFill="1" applyBorder="1" applyAlignment="1">
      <alignment vertical="center" wrapText="1"/>
    </xf>
    <xf numFmtId="169" fontId="36" fillId="37" borderId="11" xfId="61" applyNumberFormat="1" applyFont="1" applyFill="1" applyBorder="1" applyAlignment="1">
      <alignment vertical="center" wrapText="1"/>
    </xf>
    <xf numFmtId="169" fontId="36" fillId="37" borderId="11" xfId="78" applyNumberFormat="1" applyFont="1" applyFill="1" applyBorder="1" applyAlignment="1">
      <alignment vertical="center"/>
    </xf>
    <xf numFmtId="169" fontId="36" fillId="37" borderId="11" xfId="61" applyNumberFormat="1" applyFont="1" applyFill="1" applyBorder="1" applyAlignment="1">
      <alignment vertical="center"/>
    </xf>
    <xf numFmtId="2" fontId="36" fillId="24" borderId="11" xfId="0" applyNumberFormat="1" applyFont="1" applyFill="1" applyBorder="1" applyAlignment="1">
      <alignment vertical="center"/>
    </xf>
    <xf numFmtId="169" fontId="36" fillId="29" borderId="11" xfId="78" applyNumberFormat="1" applyFont="1" applyFill="1" applyBorder="1" applyAlignment="1">
      <alignment vertical="center" wrapText="1"/>
    </xf>
    <xf numFmtId="2" fontId="43" fillId="30" borderId="11" xfId="0" applyNumberFormat="1" applyFont="1" applyFill="1" applyBorder="1" applyAlignment="1">
      <alignment horizontal="center" vertical="center" wrapText="1"/>
    </xf>
    <xf numFmtId="0" fontId="43" fillId="30" borderId="11" xfId="0" applyFont="1" applyFill="1" applyBorder="1" applyAlignment="1">
      <alignment horizontal="center" vertical="center"/>
    </xf>
    <xf numFmtId="2" fontId="43" fillId="30" borderId="11" xfId="0" applyNumberFormat="1" applyFont="1" applyFill="1" applyBorder="1" applyAlignment="1">
      <alignment vertical="center" wrapText="1"/>
    </xf>
    <xf numFmtId="169" fontId="36" fillId="0" borderId="11" xfId="78" applyNumberFormat="1" applyFont="1" applyBorder="1" applyAlignment="1">
      <alignment horizontal="center" vertical="center" wrapText="1"/>
    </xf>
    <xf numFmtId="169" fontId="36" fillId="0" borderId="11" xfId="61" applyNumberFormat="1" applyFont="1" applyBorder="1" applyAlignment="1">
      <alignment vertical="center" wrapText="1"/>
    </xf>
    <xf numFmtId="2" fontId="64" fillId="0" borderId="43" xfId="0" applyNumberFormat="1" applyFont="1" applyBorder="1" applyAlignment="1">
      <alignment vertical="center"/>
    </xf>
    <xf numFmtId="2" fontId="64" fillId="0" borderId="44" xfId="0" applyNumberFormat="1" applyFont="1" applyBorder="1" applyAlignment="1">
      <alignment vertical="center" wrapText="1"/>
    </xf>
    <xf numFmtId="2" fontId="58" fillId="0" borderId="44" xfId="0" applyNumberFormat="1" applyFont="1" applyBorder="1" applyAlignment="1">
      <alignment vertical="center" wrapText="1"/>
    </xf>
    <xf numFmtId="2" fontId="58" fillId="0" borderId="45" xfId="0" applyNumberFormat="1" applyFont="1" applyBorder="1" applyAlignment="1">
      <alignment vertical="center" wrapText="1"/>
    </xf>
    <xf numFmtId="9" fontId="36" fillId="35" borderId="40" xfId="169" applyFont="1" applyFill="1" applyBorder="1" applyAlignment="1">
      <alignment horizontal="right" vertical="center"/>
    </xf>
    <xf numFmtId="0" fontId="36" fillId="34" borderId="0" xfId="94" applyFont="1" applyFill="1" applyBorder="1" applyAlignment="1">
      <alignment horizontal="justify" vertical="center" wrapText="1"/>
    </xf>
    <xf numFmtId="0" fontId="70" fillId="24" borderId="54" xfId="41" applyFont="1" applyFill="1" applyBorder="1" applyAlignment="1">
      <alignment horizontal="left" vertical="center"/>
    </xf>
    <xf numFmtId="0" fontId="70" fillId="24" borderId="17" xfId="41" applyFont="1" applyFill="1" applyBorder="1" applyAlignment="1">
      <alignment horizontal="left" vertical="center"/>
    </xf>
    <xf numFmtId="0" fontId="70" fillId="24" borderId="57" xfId="41" applyFont="1" applyFill="1" applyBorder="1" applyAlignment="1">
      <alignment horizontal="left" vertical="center"/>
    </xf>
    <xf numFmtId="0" fontId="70" fillId="24" borderId="58" xfId="41" applyFont="1" applyFill="1" applyBorder="1" applyAlignment="1">
      <alignment horizontal="left" vertical="center"/>
    </xf>
    <xf numFmtId="177" fontId="71" fillId="33" borderId="51" xfId="38" applyNumberFormat="1" applyFont="1" applyFill="1" applyBorder="1" applyAlignment="1">
      <alignment horizontal="center" vertical="center"/>
    </xf>
    <xf numFmtId="177" fontId="71" fillId="33" borderId="46" xfId="38" applyNumberFormat="1" applyFont="1" applyFill="1" applyBorder="1" applyAlignment="1">
      <alignment horizontal="center" vertical="center"/>
    </xf>
    <xf numFmtId="177" fontId="71" fillId="33" borderId="52" xfId="38" applyNumberFormat="1" applyFont="1" applyFill="1" applyBorder="1" applyAlignment="1">
      <alignment horizontal="center" vertical="center"/>
    </xf>
    <xf numFmtId="0" fontId="66" fillId="24" borderId="0" xfId="92" applyFont="1" applyFill="1" applyBorder="1" applyAlignment="1">
      <alignment horizontal="center"/>
    </xf>
    <xf numFmtId="0" fontId="70" fillId="24" borderId="11" xfId="41" applyFont="1" applyFill="1" applyBorder="1" applyAlignment="1">
      <alignment horizontal="left" vertical="center"/>
    </xf>
    <xf numFmtId="0" fontId="70" fillId="24" borderId="66" xfId="41" applyFont="1" applyFill="1" applyBorder="1" applyAlignment="1">
      <alignment horizontal="left" vertical="center"/>
    </xf>
    <xf numFmtId="0" fontId="70" fillId="24" borderId="22" xfId="41" applyFont="1" applyFill="1" applyBorder="1" applyAlignment="1">
      <alignment horizontal="left" vertical="center"/>
    </xf>
    <xf numFmtId="0" fontId="70" fillId="24" borderId="67" xfId="41" applyFont="1" applyFill="1" applyBorder="1" applyAlignment="1">
      <alignment horizontal="center" vertical="center"/>
    </xf>
    <xf numFmtId="0" fontId="70" fillId="24" borderId="39" xfId="41" applyFont="1" applyFill="1" applyBorder="1" applyAlignment="1">
      <alignment horizontal="center" vertical="center"/>
    </xf>
    <xf numFmtId="0" fontId="70" fillId="24" borderId="48" xfId="41" applyFont="1" applyFill="1" applyBorder="1" applyAlignment="1">
      <alignment horizontal="center" vertical="center"/>
    </xf>
    <xf numFmtId="0" fontId="58" fillId="0" borderId="10" xfId="0" applyFont="1" applyBorder="1" applyAlignment="1">
      <alignment horizontal="left" indent="3"/>
    </xf>
    <xf numFmtId="0" fontId="58" fillId="0" borderId="0" xfId="0" applyFont="1" applyAlignment="1">
      <alignment horizontal="left" indent="3"/>
    </xf>
    <xf numFmtId="0" fontId="87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79" fillId="39" borderId="43" xfId="0" applyFont="1" applyFill="1" applyBorder="1" applyAlignment="1">
      <alignment horizontal="center" vertical="center"/>
    </xf>
    <xf numFmtId="0" fontId="72" fillId="39" borderId="44" xfId="0" applyFont="1" applyFill="1" applyBorder="1" applyAlignment="1">
      <alignment horizontal="center" vertical="center"/>
    </xf>
    <xf numFmtId="0" fontId="72" fillId="39" borderId="45" xfId="0" applyFont="1" applyFill="1" applyBorder="1" applyAlignment="1">
      <alignment horizontal="center" vertical="center"/>
    </xf>
    <xf numFmtId="0" fontId="72" fillId="39" borderId="10" xfId="0" applyFont="1" applyFill="1" applyBorder="1" applyAlignment="1">
      <alignment horizontal="center" vertical="center"/>
    </xf>
    <xf numFmtId="0" fontId="72" fillId="39" borderId="0" xfId="0" applyFont="1" applyFill="1" applyAlignment="1">
      <alignment horizontal="center" vertical="center"/>
    </xf>
    <xf numFmtId="0" fontId="72" fillId="39" borderId="12" xfId="0" applyFont="1" applyFill="1" applyBorder="1" applyAlignment="1">
      <alignment horizontal="center" vertical="center"/>
    </xf>
    <xf numFmtId="0" fontId="72" fillId="39" borderId="16" xfId="0" applyFont="1" applyFill="1" applyBorder="1" applyAlignment="1">
      <alignment horizontal="center" vertical="center"/>
    </xf>
    <xf numFmtId="0" fontId="72" fillId="39" borderId="15" xfId="0" applyFont="1" applyFill="1" applyBorder="1" applyAlignment="1">
      <alignment horizontal="center" vertical="center"/>
    </xf>
    <xf numFmtId="0" fontId="72" fillId="39" borderId="34" xfId="0" applyFont="1" applyFill="1" applyBorder="1" applyAlignment="1">
      <alignment horizontal="center" vertical="center"/>
    </xf>
    <xf numFmtId="0" fontId="81" fillId="0" borderId="21" xfId="0" applyFont="1" applyBorder="1" applyAlignment="1">
      <alignment horizontal="center"/>
    </xf>
    <xf numFmtId="0" fontId="83" fillId="0" borderId="21" xfId="0" applyFont="1" applyBorder="1" applyAlignment="1">
      <alignment horizontal="center"/>
    </xf>
    <xf numFmtId="0" fontId="84" fillId="0" borderId="21" xfId="0" applyFont="1" applyBorder="1" applyAlignment="1">
      <alignment horizontal="center"/>
    </xf>
    <xf numFmtId="0" fontId="85" fillId="0" borderId="21" xfId="0" applyFont="1" applyBorder="1" applyAlignment="1">
      <alignment horizontal="center"/>
    </xf>
    <xf numFmtId="0" fontId="82" fillId="0" borderId="21" xfId="0" applyFont="1" applyBorder="1" applyAlignment="1">
      <alignment horizontal="center"/>
    </xf>
    <xf numFmtId="0" fontId="86" fillId="0" borderId="21" xfId="0" applyFont="1" applyBorder="1" applyAlignment="1">
      <alignment horizontal="center"/>
    </xf>
    <xf numFmtId="167" fontId="58" fillId="0" borderId="0" xfId="63" applyFont="1" applyBorder="1" applyAlignment="1"/>
    <xf numFmtId="2" fontId="49" fillId="24" borderId="11" xfId="0" applyNumberFormat="1" applyFont="1" applyFill="1" applyBorder="1" applyAlignment="1">
      <alignment horizontal="center" vertical="center" wrapText="1"/>
    </xf>
    <xf numFmtId="2" fontId="44" fillId="32" borderId="11" xfId="0" applyNumberFormat="1" applyFont="1" applyFill="1" applyBorder="1" applyAlignment="1">
      <alignment horizontal="center" vertical="center" wrapText="1"/>
    </xf>
    <xf numFmtId="0" fontId="66" fillId="24" borderId="0" xfId="92" applyFont="1" applyFill="1" applyBorder="1" applyAlignment="1">
      <alignment horizontal="center" vertical="center" wrapText="1"/>
    </xf>
    <xf numFmtId="0" fontId="76" fillId="30" borderId="11" xfId="0" applyFont="1" applyFill="1" applyBorder="1" applyAlignment="1">
      <alignment horizontal="center" vertical="center" wrapText="1"/>
    </xf>
    <xf numFmtId="0" fontId="73" fillId="33" borderId="11" xfId="77" applyFont="1" applyFill="1" applyBorder="1" applyAlignment="1">
      <alignment horizontal="center" vertical="center" wrapText="1"/>
    </xf>
    <xf numFmtId="2" fontId="72" fillId="31" borderId="43" xfId="0" applyNumberFormat="1" applyFont="1" applyFill="1" applyBorder="1" applyAlignment="1">
      <alignment horizontal="center" vertical="center"/>
    </xf>
    <xf numFmtId="2" fontId="72" fillId="31" borderId="44" xfId="0" applyNumberFormat="1" applyFont="1" applyFill="1" applyBorder="1" applyAlignment="1">
      <alignment horizontal="center" vertical="center"/>
    </xf>
    <xf numFmtId="2" fontId="72" fillId="31" borderId="45" xfId="0" applyNumberFormat="1" applyFont="1" applyFill="1" applyBorder="1" applyAlignment="1">
      <alignment horizontal="center" vertical="center"/>
    </xf>
    <xf numFmtId="2" fontId="72" fillId="31" borderId="16" xfId="0" applyNumberFormat="1" applyFont="1" applyFill="1" applyBorder="1" applyAlignment="1">
      <alignment horizontal="center" vertical="center"/>
    </xf>
    <xf numFmtId="2" fontId="72" fillId="31" borderId="15" xfId="0" applyNumberFormat="1" applyFont="1" applyFill="1" applyBorder="1" applyAlignment="1">
      <alignment horizontal="center" vertical="center"/>
    </xf>
    <xf numFmtId="2" fontId="72" fillId="31" borderId="34" xfId="0" applyNumberFormat="1" applyFont="1" applyFill="1" applyBorder="1" applyAlignment="1">
      <alignment horizontal="center" vertical="center"/>
    </xf>
    <xf numFmtId="0" fontId="82" fillId="24" borderId="11" xfId="92" applyFont="1" applyFill="1" applyBorder="1" applyAlignment="1">
      <alignment horizontal="center" vertical="center"/>
    </xf>
    <xf numFmtId="172" fontId="67" fillId="24" borderId="0" xfId="0" applyNumberFormat="1" applyFont="1" applyFill="1" applyAlignment="1">
      <alignment horizontal="left" vertical="top" wrapText="1"/>
    </xf>
    <xf numFmtId="2" fontId="74" fillId="0" borderId="11" xfId="0" applyNumberFormat="1" applyFont="1" applyBorder="1" applyAlignment="1">
      <alignment horizontal="justify" vertical="center" wrapText="1"/>
    </xf>
    <xf numFmtId="0" fontId="89" fillId="24" borderId="11" xfId="92" applyFont="1" applyFill="1" applyBorder="1" applyAlignment="1">
      <alignment horizontal="center" vertical="center" wrapText="1"/>
    </xf>
    <xf numFmtId="2" fontId="75" fillId="32" borderId="11" xfId="0" applyNumberFormat="1" applyFont="1" applyFill="1" applyBorder="1" applyAlignment="1">
      <alignment horizontal="center" vertical="center" wrapText="1"/>
    </xf>
    <xf numFmtId="0" fontId="75" fillId="25" borderId="11" xfId="0" applyFont="1" applyFill="1" applyBorder="1" applyAlignment="1">
      <alignment horizontal="center" vertical="center" wrapText="1"/>
    </xf>
    <xf numFmtId="2" fontId="48" fillId="32" borderId="11" xfId="0" applyNumberFormat="1" applyFont="1" applyFill="1" applyBorder="1" applyAlignment="1">
      <alignment horizontal="center" vertical="center" wrapText="1"/>
    </xf>
    <xf numFmtId="2" fontId="77" fillId="24" borderId="11" xfId="0" applyNumberFormat="1" applyFont="1" applyFill="1" applyBorder="1" applyAlignment="1">
      <alignment horizontal="center" vertical="center" wrapText="1"/>
    </xf>
    <xf numFmtId="0" fontId="78" fillId="30" borderId="11" xfId="0" applyFont="1" applyFill="1" applyBorder="1" applyAlignment="1">
      <alignment horizontal="center" vertical="center"/>
    </xf>
    <xf numFmtId="0" fontId="37" fillId="37" borderId="11" xfId="0" applyFont="1" applyFill="1" applyBorder="1" applyAlignment="1">
      <alignment horizontal="right" vertical="center"/>
    </xf>
    <xf numFmtId="0" fontId="43" fillId="30" borderId="11" xfId="0" applyFont="1" applyFill="1" applyBorder="1" applyAlignment="1">
      <alignment horizontal="left" vertical="center"/>
    </xf>
    <xf numFmtId="0" fontId="56" fillId="0" borderId="11" xfId="0" applyFont="1" applyBorder="1" applyAlignment="1">
      <alignment horizontal="left" vertical="center" wrapText="1"/>
    </xf>
    <xf numFmtId="0" fontId="37" fillId="35" borderId="11" xfId="0" applyFont="1" applyFill="1" applyBorder="1" applyAlignment="1">
      <alignment horizontal="right" vertical="center"/>
    </xf>
    <xf numFmtId="0" fontId="56" fillId="0" borderId="11" xfId="0" applyFont="1" applyBorder="1" applyAlignment="1">
      <alignment horizontal="left" wrapText="1"/>
    </xf>
    <xf numFmtId="0" fontId="56" fillId="0" borderId="67" xfId="0" applyFont="1" applyBorder="1" applyAlignment="1">
      <alignment horizontal="left" vertical="center" wrapText="1"/>
    </xf>
    <xf numFmtId="0" fontId="56" fillId="0" borderId="48" xfId="0" applyFont="1" applyBorder="1" applyAlignment="1">
      <alignment horizontal="left" vertical="center" wrapText="1"/>
    </xf>
    <xf numFmtId="2" fontId="58" fillId="0" borderId="10" xfId="0" applyNumberFormat="1" applyFont="1" applyBorder="1" applyAlignment="1">
      <alignment horizontal="left" vertical="top" wrapText="1"/>
    </xf>
    <xf numFmtId="2" fontId="58" fillId="0" borderId="0" xfId="0" applyNumberFormat="1" applyFont="1" applyAlignment="1">
      <alignment horizontal="left" vertical="top" wrapText="1"/>
    </xf>
    <xf numFmtId="2" fontId="58" fillId="0" borderId="12" xfId="0" applyNumberFormat="1" applyFont="1" applyBorder="1" applyAlignment="1">
      <alignment horizontal="left" vertical="top" wrapText="1"/>
    </xf>
    <xf numFmtId="2" fontId="58" fillId="0" borderId="29" xfId="0" applyNumberFormat="1" applyFont="1" applyBorder="1" applyAlignment="1">
      <alignment horizontal="left" vertical="top" wrapText="1"/>
    </xf>
    <xf numFmtId="2" fontId="58" fillId="0" borderId="21" xfId="0" applyNumberFormat="1" applyFont="1" applyBorder="1" applyAlignment="1">
      <alignment horizontal="left" vertical="top" wrapText="1"/>
    </xf>
    <xf numFmtId="2" fontId="58" fillId="0" borderId="42" xfId="0" applyNumberFormat="1" applyFont="1" applyBorder="1" applyAlignment="1">
      <alignment horizontal="left" vertical="top" wrapText="1"/>
    </xf>
    <xf numFmtId="0" fontId="63" fillId="27" borderId="28" xfId="0" applyFont="1" applyFill="1" applyBorder="1" applyAlignment="1">
      <alignment horizontal="center" vertical="center"/>
    </xf>
    <xf numFmtId="0" fontId="63" fillId="27" borderId="14" xfId="0" applyFont="1" applyFill="1" applyBorder="1" applyAlignment="1">
      <alignment horizontal="center" vertical="center"/>
    </xf>
    <xf numFmtId="0" fontId="63" fillId="27" borderId="19" xfId="0" applyFont="1" applyFill="1" applyBorder="1" applyAlignment="1">
      <alignment horizontal="center" vertical="center"/>
    </xf>
    <xf numFmtId="0" fontId="63" fillId="27" borderId="74" xfId="0" applyFont="1" applyFill="1" applyBorder="1" applyAlignment="1">
      <alignment horizontal="center" vertical="center"/>
    </xf>
    <xf numFmtId="0" fontId="98" fillId="24" borderId="18" xfId="92" applyFont="1" applyFill="1" applyBorder="1" applyAlignment="1">
      <alignment horizontal="center"/>
    </xf>
    <xf numFmtId="0" fontId="98" fillId="24" borderId="19" xfId="92" applyFont="1" applyFill="1" applyBorder="1" applyAlignment="1">
      <alignment horizontal="center"/>
    </xf>
    <xf numFmtId="0" fontId="98" fillId="24" borderId="20" xfId="92" applyFont="1" applyFill="1" applyBorder="1" applyAlignment="1">
      <alignment horizontal="center"/>
    </xf>
    <xf numFmtId="14" fontId="67" fillId="24" borderId="0" xfId="0" applyNumberFormat="1" applyFont="1" applyFill="1" applyBorder="1" applyAlignment="1">
      <alignment horizontal="left" vertical="center"/>
    </xf>
    <xf numFmtId="2" fontId="36" fillId="24" borderId="0" xfId="0" applyNumberFormat="1" applyFont="1" applyFill="1" applyBorder="1" applyAlignment="1">
      <alignment horizontal="center" vertical="center" wrapText="1"/>
    </xf>
    <xf numFmtId="2" fontId="36" fillId="24" borderId="0" xfId="0" applyNumberFormat="1" applyFont="1" applyFill="1" applyBorder="1" applyAlignment="1">
      <alignment vertical="center" wrapText="1"/>
    </xf>
    <xf numFmtId="0" fontId="36" fillId="24" borderId="0" xfId="0" applyFont="1" applyFill="1" applyBorder="1" applyAlignment="1">
      <alignment vertical="top"/>
    </xf>
    <xf numFmtId="2" fontId="54" fillId="30" borderId="0" xfId="0" applyNumberFormat="1" applyFont="1" applyFill="1" applyBorder="1" applyAlignment="1">
      <alignment horizontal="right" vertical="center"/>
    </xf>
    <xf numFmtId="2" fontId="36" fillId="30" borderId="0" xfId="0" applyNumberFormat="1" applyFont="1" applyFill="1" applyBorder="1" applyAlignment="1">
      <alignment horizontal="center" vertical="center" wrapText="1"/>
    </xf>
    <xf numFmtId="0" fontId="68" fillId="30" borderId="0" xfId="0" applyFont="1" applyFill="1" applyBorder="1" applyAlignment="1">
      <alignment horizontal="right"/>
    </xf>
    <xf numFmtId="172" fontId="67" fillId="30" borderId="0" xfId="0" applyNumberFormat="1" applyFont="1" applyFill="1" applyBorder="1"/>
    <xf numFmtId="0" fontId="36" fillId="30" borderId="0" xfId="0" applyFont="1" applyFill="1" applyBorder="1" applyAlignment="1">
      <alignment horizontal="center" vertical="center"/>
    </xf>
    <xf numFmtId="2" fontId="36" fillId="30" borderId="0" xfId="0" applyNumberFormat="1" applyFont="1" applyFill="1" applyBorder="1" applyAlignment="1">
      <alignment vertical="center" wrapText="1"/>
    </xf>
    <xf numFmtId="172" fontId="67" fillId="30" borderId="0" xfId="0" applyNumberFormat="1" applyFont="1" applyFill="1" applyBorder="1" applyAlignment="1">
      <alignment horizontal="left"/>
    </xf>
    <xf numFmtId="172" fontId="50" fillId="30" borderId="0" xfId="0" applyNumberFormat="1" applyFont="1" applyFill="1" applyBorder="1"/>
    <xf numFmtId="2" fontId="51" fillId="30" borderId="0" xfId="0" applyNumberFormat="1" applyFont="1" applyFill="1" applyBorder="1" applyAlignment="1">
      <alignment horizontal="right"/>
    </xf>
    <xf numFmtId="0" fontId="51" fillId="30" borderId="0" xfId="0" applyFont="1" applyFill="1" applyBorder="1" applyAlignment="1">
      <alignment horizontal="right"/>
    </xf>
    <xf numFmtId="2" fontId="37" fillId="24" borderId="0" xfId="0" applyNumberFormat="1" applyFont="1" applyFill="1" applyBorder="1" applyAlignment="1">
      <alignment vertical="center"/>
    </xf>
    <xf numFmtId="0" fontId="68" fillId="24" borderId="0" xfId="0" applyFont="1" applyFill="1" applyBorder="1" applyAlignment="1">
      <alignment horizontal="center" vertical="center"/>
    </xf>
    <xf numFmtId="0" fontId="36" fillId="24" borderId="0" xfId="0" applyFont="1" applyFill="1" applyBorder="1" applyAlignment="1">
      <alignment horizontal="center" vertical="center"/>
    </xf>
    <xf numFmtId="14" fontId="67" fillId="24" borderId="0" xfId="0" applyNumberFormat="1" applyFont="1" applyFill="1" applyBorder="1" applyAlignment="1">
      <alignment horizontal="center" vertical="center"/>
    </xf>
    <xf numFmtId="174" fontId="36" fillId="35" borderId="40" xfId="94" applyNumberFormat="1" applyFont="1" applyFill="1" applyBorder="1" applyAlignment="1">
      <alignment horizontal="center" vertical="center"/>
    </xf>
    <xf numFmtId="167" fontId="36" fillId="35" borderId="40" xfId="93" applyNumberFormat="1" applyFont="1" applyFill="1" applyBorder="1" applyAlignment="1">
      <alignment horizontal="center" vertical="center"/>
    </xf>
    <xf numFmtId="171" fontId="36" fillId="35" borderId="40" xfId="93" applyNumberFormat="1" applyFont="1" applyFill="1" applyBorder="1" applyAlignment="1">
      <alignment horizontal="right" vertical="center"/>
    </xf>
    <xf numFmtId="171" fontId="36" fillId="34" borderId="40" xfId="93" applyNumberFormat="1" applyFont="1" applyFill="1" applyBorder="1" applyAlignment="1">
      <alignment horizontal="right" vertical="center"/>
    </xf>
    <xf numFmtId="170" fontId="36" fillId="37" borderId="40" xfId="93" applyNumberFormat="1" applyFont="1" applyFill="1" applyBorder="1" applyAlignment="1" applyProtection="1">
      <alignment horizontal="left" vertical="center"/>
    </xf>
    <xf numFmtId="0" fontId="97" fillId="36" borderId="0" xfId="0" applyFont="1" applyFill="1" applyBorder="1" applyAlignment="1">
      <alignment horizontal="center" vertical="center"/>
    </xf>
    <xf numFmtId="171" fontId="36" fillId="41" borderId="40" xfId="38" applyNumberFormat="1" applyFont="1" applyFill="1" applyBorder="1" applyAlignment="1">
      <alignment horizontal="right" vertical="center"/>
    </xf>
  </cellXfs>
  <cellStyles count="187">
    <cellStyle name="20% - Accent1" xfId="1" builtinId="30" customBuiltin="1"/>
    <cellStyle name="20% - Accent1 2" xfId="105" xr:uid="{64564995-833E-43B9-B0DE-F53B77923EDE}"/>
    <cellStyle name="20% - Accent2" xfId="2" builtinId="34" customBuiltin="1"/>
    <cellStyle name="20% - Accent2 2" xfId="106" xr:uid="{582A08B4-443A-4564-A7A2-D81817E371AC}"/>
    <cellStyle name="20% - Accent3" xfId="3" builtinId="38" customBuiltin="1"/>
    <cellStyle name="20% - Accent3 2" xfId="107" xr:uid="{2E0AF138-B4FE-44D4-A1E2-D1D2F02C4E7C}"/>
    <cellStyle name="20% - Accent4" xfId="4" builtinId="42" customBuiltin="1"/>
    <cellStyle name="20% - Accent4 2" xfId="108" xr:uid="{589F5FD2-1494-4776-B0EA-7B0707AFA4DF}"/>
    <cellStyle name="20% - Accent5" xfId="5" builtinId="46" customBuiltin="1"/>
    <cellStyle name="20% - Accent5 2" xfId="109" xr:uid="{2CD9BBA7-84DD-4AFA-903B-CA1C1BB8566A}"/>
    <cellStyle name="20% - Accent6" xfId="6" builtinId="50" customBuiltin="1"/>
    <cellStyle name="20% - Accent6 2" xfId="110" xr:uid="{D196A7C4-EC5D-4403-80AB-00BF5B85A3C7}"/>
    <cellStyle name="40% - Accent1" xfId="7" builtinId="31" customBuiltin="1"/>
    <cellStyle name="40% - Accent1 2" xfId="111" xr:uid="{AFAF2EC9-BFDB-47D5-9E07-5D56EA9F6892}"/>
    <cellStyle name="40% - Accent2" xfId="8" builtinId="35" customBuiltin="1"/>
    <cellStyle name="40% - Accent2 2" xfId="112" xr:uid="{C97DA051-70E5-412C-BC1A-81D8EAFAA2B5}"/>
    <cellStyle name="40% - Accent3" xfId="9" builtinId="39" customBuiltin="1"/>
    <cellStyle name="40% - Accent3 2" xfId="113" xr:uid="{7640EC7D-1804-49AE-9FB7-B0F69DCE63E9}"/>
    <cellStyle name="40% - Accent4" xfId="10" builtinId="43" customBuiltin="1"/>
    <cellStyle name="40% - Accent4 2" xfId="114" xr:uid="{B79073ED-AE49-404A-B494-054F44CB2FC7}"/>
    <cellStyle name="40% - Accent5" xfId="11" builtinId="47" customBuiltin="1"/>
    <cellStyle name="40% - Accent5 2" xfId="115" xr:uid="{CCC8364B-297E-4CDE-8E12-B19415DD0B0B}"/>
    <cellStyle name="40% - Accent6" xfId="12" builtinId="51" customBuiltin="1"/>
    <cellStyle name="40% - Accent6 2" xfId="116" xr:uid="{FD87C174-9447-4378-9704-2534F687B4B6}"/>
    <cellStyle name="60% - Accent1" xfId="13" builtinId="32" customBuiltin="1"/>
    <cellStyle name="60% - Accent1 2" xfId="117" xr:uid="{B7AA9DC1-78FC-4825-AEB3-F8CBF01B88B2}"/>
    <cellStyle name="60% - Accent2" xfId="14" builtinId="36" customBuiltin="1"/>
    <cellStyle name="60% - Accent2 2" xfId="118" xr:uid="{99B7768A-C8E8-44BE-8959-FB96085DF184}"/>
    <cellStyle name="60% - Accent3" xfId="15" builtinId="40" customBuiltin="1"/>
    <cellStyle name="60% - Accent3 2" xfId="119" xr:uid="{7B22EB43-84DF-4CC4-917A-B7E02C906629}"/>
    <cellStyle name="60% - Accent4" xfId="16" builtinId="44" customBuiltin="1"/>
    <cellStyle name="60% - Accent4 2" xfId="120" xr:uid="{80D4C424-49BB-4E57-AB06-D436D89C9C2F}"/>
    <cellStyle name="60% - Accent5" xfId="17" builtinId="48" customBuiltin="1"/>
    <cellStyle name="60% - Accent5 2" xfId="121" xr:uid="{9B364E84-4F2D-403C-84F2-D82784E12109}"/>
    <cellStyle name="60% - Accent6" xfId="18" builtinId="52" customBuiltin="1"/>
    <cellStyle name="60% - Accent6 2" xfId="122" xr:uid="{34B4BACC-A0FE-4369-9A6F-ADA192C940D8}"/>
    <cellStyle name="Accent1" xfId="19" builtinId="29" customBuiltin="1"/>
    <cellStyle name="Accent1 2" xfId="123" xr:uid="{9915EB90-18D9-4B52-B66E-EBCD81CA46F6}"/>
    <cellStyle name="Accent2" xfId="20" builtinId="33" customBuiltin="1"/>
    <cellStyle name="Accent2 2" xfId="124" xr:uid="{1892B704-0845-4C23-870A-054C8EE5162A}"/>
    <cellStyle name="Accent3" xfId="21" builtinId="37" customBuiltin="1"/>
    <cellStyle name="Accent3 2" xfId="125" xr:uid="{3B87043D-A051-4111-8B80-2523C09D93B7}"/>
    <cellStyle name="Accent4" xfId="22" builtinId="41" customBuiltin="1"/>
    <cellStyle name="Accent4 2" xfId="126" xr:uid="{233F9D54-0D96-4114-93FF-E3EC148F37A6}"/>
    <cellStyle name="Accent5" xfId="23" builtinId="45" customBuiltin="1"/>
    <cellStyle name="Accent5 2" xfId="127" xr:uid="{FD0BEE0D-E56C-4C2C-9E28-BABB4986C674}"/>
    <cellStyle name="Accent6" xfId="24" builtinId="49" customBuiltin="1"/>
    <cellStyle name="Accent6 2" xfId="128" xr:uid="{5BF43BAB-6D18-4850-BEC7-5B089EDFBE39}"/>
    <cellStyle name="Bad" xfId="25" builtinId="27" customBuiltin="1"/>
    <cellStyle name="Bad 2" xfId="129" xr:uid="{959176B1-889B-4BF5-BF78-10373375A901}"/>
    <cellStyle name="Calculation" xfId="26" builtinId="22" customBuiltin="1"/>
    <cellStyle name="Calculation 2" xfId="130" xr:uid="{7E362540-1EB4-45DE-AA2F-5B607C53A4D8}"/>
    <cellStyle name="Check Cell" xfId="27" builtinId="23" customBuiltin="1"/>
    <cellStyle name="Check Cell 2" xfId="131" xr:uid="{A1B26EC8-2CAD-4420-AC50-4286CEA269AC}"/>
    <cellStyle name="Comma" xfId="63" builtinId="3"/>
    <cellStyle name="Comma 2" xfId="46" xr:uid="{00000000-0005-0000-0000-00001C000000}"/>
    <cellStyle name="Comma 2 2" xfId="48" xr:uid="{00000000-0005-0000-0000-00001D000000}"/>
    <cellStyle name="Comma 3" xfId="158" xr:uid="{2E40A133-434B-47FB-B606-F2C491745507}"/>
    <cellStyle name="Currency" xfId="61" builtinId="4"/>
    <cellStyle name="Currency 2" xfId="50" xr:uid="{00000000-0005-0000-0000-00001F000000}"/>
    <cellStyle name="Currency 3" xfId="75" xr:uid="{00000000-0005-0000-0000-000020000000}"/>
    <cellStyle name="Currency 3 2" xfId="168" xr:uid="{F9545F6C-9EC0-45F1-A507-3B169EE5D2B1}"/>
    <cellStyle name="Currency 4" xfId="78" xr:uid="{00000000-0005-0000-0000-000021000000}"/>
    <cellStyle name="Currency 5" xfId="156" xr:uid="{504E9609-46C7-43BE-B3EE-4B4969943720}"/>
    <cellStyle name="Explanatory Text" xfId="28" builtinId="53" customBuiltin="1"/>
    <cellStyle name="Explanatory Text 2" xfId="132" xr:uid="{34AF64EC-6AE7-472F-ADBE-9478A1ADA9BC}"/>
    <cellStyle name="Good" xfId="29" builtinId="26" customBuiltin="1"/>
    <cellStyle name="Good 2" xfId="133" xr:uid="{A7721395-C38F-4AE4-A4BD-F956B180AD59}"/>
    <cellStyle name="Heading 1" xfId="30" builtinId="16" customBuiltin="1"/>
    <cellStyle name="Heading 1 2" xfId="134" xr:uid="{2963B512-E854-432C-B0E5-627C82BF4D34}"/>
    <cellStyle name="Heading 2" xfId="31" builtinId="17" customBuiltin="1"/>
    <cellStyle name="Heading 2 2" xfId="135" xr:uid="{CA9D92E0-3BEF-4DBD-B9CD-ABE83C28DBFC}"/>
    <cellStyle name="Heading 3" xfId="32" builtinId="18" customBuiltin="1"/>
    <cellStyle name="Heading 3 2" xfId="136" xr:uid="{4B898A93-79C9-43EC-862C-9D9194FB50BE}"/>
    <cellStyle name="Heading 4" xfId="33" builtinId="19" customBuiltin="1"/>
    <cellStyle name="Heading 4 2" xfId="137" xr:uid="{9533567E-F263-4AE4-802F-536C2CDC02BE}"/>
    <cellStyle name="Hyperlink" xfId="92" builtinId="8"/>
    <cellStyle name="Hyperlink 2" xfId="178" xr:uid="{93FD80EA-8102-4301-813D-53C55CA87557}"/>
    <cellStyle name="Input" xfId="34" builtinId="20" customBuiltin="1"/>
    <cellStyle name="Input 2" xfId="84" xr:uid="{00000000-0005-0000-0000-00002A000000}"/>
    <cellStyle name="Input 2 2" xfId="174" xr:uid="{A6FE80B4-AE28-4656-BD91-765DE1FC5875}"/>
    <cellStyle name="Input 3" xfId="91" xr:uid="{00000000-0005-0000-0000-00002B000000}"/>
    <cellStyle name="Input 4" xfId="138" xr:uid="{46A12129-2EF7-4A13-BB9D-D3CD79B76281}"/>
    <cellStyle name="Linked Cell" xfId="35" builtinId="24" customBuiltin="1"/>
    <cellStyle name="Linked Cell 2" xfId="139" xr:uid="{0541525B-F34F-411B-AC7A-478F53001D9E}"/>
    <cellStyle name="Neutral" xfId="36" builtinId="28" customBuiltin="1"/>
    <cellStyle name="Neutral 2" xfId="140" xr:uid="{43E8CD05-BBD7-4174-A723-4A4F1A484BDA}"/>
    <cellStyle name="Normal" xfId="0" builtinId="0"/>
    <cellStyle name="Normal 10" xfId="69" xr:uid="{00000000-0005-0000-0000-00002F000000}"/>
    <cellStyle name="Normal 10 2" xfId="163" xr:uid="{2C1895F3-4295-4341-9840-9C6328293AA9}"/>
    <cellStyle name="Normal 11" xfId="97" xr:uid="{00000000-0005-0000-0000-000030000000}"/>
    <cellStyle name="Normal 11 2" xfId="181" xr:uid="{D897B4A6-9A06-4326-8473-DB2BD179C253}"/>
    <cellStyle name="Normal 12" xfId="96" xr:uid="{00000000-0005-0000-0000-000031000000}"/>
    <cellStyle name="Normal 12 2" xfId="180" xr:uid="{95759CEF-243C-4E5A-853E-21BE2CB0907A}"/>
    <cellStyle name="Normal 13" xfId="99" xr:uid="{00000000-0005-0000-0000-000032000000}"/>
    <cellStyle name="Normal 13 2" xfId="182" xr:uid="{344D0C54-9DB1-435F-A4B5-314D38139C0E}"/>
    <cellStyle name="Normal 14" xfId="100" xr:uid="{70531C95-A4BD-426F-AA8E-8B2DF54033E7}"/>
    <cellStyle name="Normal 14 2" xfId="183" xr:uid="{C9855FB8-0060-4EC9-A558-4C59C6856B50}"/>
    <cellStyle name="Normal 15" xfId="101" xr:uid="{596F89DE-9FC9-48EE-9C1A-CF6BBCD1C876}"/>
    <cellStyle name="Normal 15 2" xfId="184" xr:uid="{4EDAF4C0-5AEB-4E18-B6D4-075FDD99B706}"/>
    <cellStyle name="Normal 16" xfId="102" xr:uid="{C1417EC9-79B9-4216-B397-EBDDB59FA38C}"/>
    <cellStyle name="Normal 16 2" xfId="185" xr:uid="{205B805A-BF3D-48EC-9AA4-C45A2B052CC1}"/>
    <cellStyle name="Normal 17" xfId="104" xr:uid="{37CF4CFD-FF5B-4A7F-A9E1-B09BBEB8A141}"/>
    <cellStyle name="Normal 17 2" xfId="179" xr:uid="{B077DA13-5AD4-473D-B69C-CBEE93F5BF16}"/>
    <cellStyle name="Normal 18" xfId="103" xr:uid="{232AEA27-86EC-497F-80DD-39D9723408DA}"/>
    <cellStyle name="Normal 19" xfId="186" xr:uid="{AF3FFC96-22C5-435A-B292-B36D11531B1A}"/>
    <cellStyle name="Normal 2" xfId="44" xr:uid="{00000000-0005-0000-0000-000033000000}"/>
    <cellStyle name="Normal 2 2" xfId="47" xr:uid="{00000000-0005-0000-0000-000034000000}"/>
    <cellStyle name="Normal 2 3" xfId="45" xr:uid="{00000000-0005-0000-0000-000035000000}"/>
    <cellStyle name="Normal 2 3 2" xfId="52" xr:uid="{00000000-0005-0000-0000-000036000000}"/>
    <cellStyle name="Normal 3" xfId="37" xr:uid="{00000000-0005-0000-0000-000037000000}"/>
    <cellStyle name="Normal 4" xfId="43" xr:uid="{00000000-0005-0000-0000-000038000000}"/>
    <cellStyle name="Normal 4 2" xfId="53" xr:uid="{00000000-0005-0000-0000-000039000000}"/>
    <cellStyle name="Normal 4 2 2" xfId="58" xr:uid="{00000000-0005-0000-0000-00003A000000}"/>
    <cellStyle name="Normal 4 2 2 2" xfId="153" xr:uid="{3852E4B4-6A3A-405F-AB70-944DE81AA233}"/>
    <cellStyle name="Normal 4 2 3" xfId="148" xr:uid="{B1E1D23E-D9EF-4A5D-B498-E5A4F2D86734}"/>
    <cellStyle name="Normal 4 3" xfId="51" xr:uid="{00000000-0005-0000-0000-00003B000000}"/>
    <cellStyle name="Normal 4 3 2" xfId="57" xr:uid="{00000000-0005-0000-0000-00003C000000}"/>
    <cellStyle name="Normal 4 3 2 2" xfId="152" xr:uid="{4568C63E-9BB0-421E-8B60-352C1D557DA4}"/>
    <cellStyle name="Normal 4 3 3" xfId="147" xr:uid="{8E7BE4F0-DAC2-4878-9E3E-395897BC89FD}"/>
    <cellStyle name="Normal 4 4" xfId="56" xr:uid="{00000000-0005-0000-0000-00003D000000}"/>
    <cellStyle name="Normal 4 4 2" xfId="151" xr:uid="{C8E61EDC-4DE5-4CD0-AD2E-53EBB78C094D}"/>
    <cellStyle name="Normal 4 5" xfId="146" xr:uid="{7A9E9AFC-B9F0-48E3-9BA0-11B1D31A6F2B}"/>
    <cellStyle name="Normal 5" xfId="49" xr:uid="{00000000-0005-0000-0000-00003E000000}"/>
    <cellStyle name="Normal 6" xfId="55" xr:uid="{00000000-0005-0000-0000-00003F000000}"/>
    <cellStyle name="Normal 6 2" xfId="150" xr:uid="{3F1BBC5D-A6CE-433C-929B-E8116D2A13DF}"/>
    <cellStyle name="Normal 7" xfId="54" xr:uid="{00000000-0005-0000-0000-000040000000}"/>
    <cellStyle name="Normal 7 2" xfId="59" xr:uid="{00000000-0005-0000-0000-000041000000}"/>
    <cellStyle name="Normal 7 2 2" xfId="154" xr:uid="{B3BD40FD-FEF6-4B5A-B949-DF418249F6A6}"/>
    <cellStyle name="Normal 7 3" xfId="149" xr:uid="{13D73014-D0A0-442F-9381-FCC74218149B}"/>
    <cellStyle name="Normal 8" xfId="60" xr:uid="{00000000-0005-0000-0000-000042000000}"/>
    <cellStyle name="Normal 8 2" xfId="155" xr:uid="{758EDCF7-CC3C-4449-A2AA-D52EC588724D}"/>
    <cellStyle name="Normal 9" xfId="65" xr:uid="{00000000-0005-0000-0000-000043000000}"/>
    <cellStyle name="Normal 9 2" xfId="159" xr:uid="{D6132392-3014-455A-8182-D79C88881E91}"/>
    <cellStyle name="Note" xfId="38" builtinId="10" customBuiltin="1"/>
    <cellStyle name="Note 10 2" xfId="71" xr:uid="{00000000-0005-0000-0000-000045000000}"/>
    <cellStyle name="Note 10 2 10 2 2 4 2 2 2 2 2 2 2 2 2 2" xfId="93" xr:uid="{00000000-0005-0000-0000-000046000000}"/>
    <cellStyle name="Note 10 2 10 2 2 4 2 2 2 2 2 2 2 2 2 2 2 2 2 2 2 3 2" xfId="95" xr:uid="{00000000-0005-0000-0000-000047000000}"/>
    <cellStyle name="Note 10 2 10 2 2 4 2 2 2 2 2 2 2 2 2 2 3" xfId="98" xr:uid="{00000000-0005-0000-0000-000048000000}"/>
    <cellStyle name="Note 10 2 11 3 3" xfId="90" xr:uid="{00000000-0005-0000-0000-000049000000}"/>
    <cellStyle name="Note 10 2 11 3 3 2" xfId="177" xr:uid="{99FCB01B-FF56-461C-967C-CA2D18B2A716}"/>
    <cellStyle name="Note 10 2 2" xfId="82" xr:uid="{00000000-0005-0000-0000-00004A000000}"/>
    <cellStyle name="Note 10 2 2 2" xfId="172" xr:uid="{3EBFD26E-F09A-41AB-98B7-562794A8EB8F}"/>
    <cellStyle name="Note 17 2" xfId="72" xr:uid="{00000000-0005-0000-0000-00004B000000}"/>
    <cellStyle name="Note 17 2 2" xfId="165" xr:uid="{C935E052-82EE-446D-BE65-7422B0DD95CD}"/>
    <cellStyle name="Note 2" xfId="64" xr:uid="{00000000-0005-0000-0000-00004C000000}"/>
    <cellStyle name="Note 2 134" xfId="94" xr:uid="{00000000-0005-0000-0000-00004D000000}"/>
    <cellStyle name="Note 2 2" xfId="81" xr:uid="{00000000-0005-0000-0000-00004E000000}"/>
    <cellStyle name="Note 2 2 2" xfId="171" xr:uid="{FA8B61C4-2423-4B1B-BECB-B878F264E895}"/>
    <cellStyle name="Note 2 24" xfId="70" xr:uid="{00000000-0005-0000-0000-00004F000000}"/>
    <cellStyle name="Note 2 24 2" xfId="164" xr:uid="{28EBDE04-6F2B-4331-9B5D-A7021A18B741}"/>
    <cellStyle name="Note 2 3" xfId="88" xr:uid="{00000000-0005-0000-0000-000050000000}"/>
    <cellStyle name="Note 2 3 2" xfId="176" xr:uid="{2AAC58B4-3FAE-4A2A-8E85-B406F424BF30}"/>
    <cellStyle name="Note 2 6 2 2" xfId="74" xr:uid="{00000000-0005-0000-0000-000051000000}"/>
    <cellStyle name="Note 2 6 2 2 2" xfId="167" xr:uid="{BE821007-60FB-4AC5-8C91-AE78543090A3}"/>
    <cellStyle name="Note 24" xfId="68" xr:uid="{00000000-0005-0000-0000-000052000000}"/>
    <cellStyle name="Note 24 2" xfId="162" xr:uid="{41F6EE0B-7206-4672-8AA7-E868B50B1FFA}"/>
    <cellStyle name="Note 25" xfId="67" xr:uid="{00000000-0005-0000-0000-000053000000}"/>
    <cellStyle name="Note 25 2" xfId="161" xr:uid="{2C92B0D9-65C0-43FE-8B80-4CC01F484093}"/>
    <cellStyle name="Note 28 2" xfId="66" xr:uid="{00000000-0005-0000-0000-000054000000}"/>
    <cellStyle name="Note 28 2 2" xfId="160" xr:uid="{1C2F070C-6845-46B6-9388-14F883B02C48}"/>
    <cellStyle name="Note 3" xfId="80" xr:uid="{00000000-0005-0000-0000-000055000000}"/>
    <cellStyle name="Note 3 2" xfId="170" xr:uid="{22C00A0E-38A0-4DA7-9C41-53B3A4AA1D30}"/>
    <cellStyle name="Note 33" xfId="73" xr:uid="{00000000-0005-0000-0000-000056000000}"/>
    <cellStyle name="Note 33 2" xfId="166" xr:uid="{90166EC3-906C-40BC-B749-FFCDA4DBF26E}"/>
    <cellStyle name="Note 4" xfId="87" xr:uid="{00000000-0005-0000-0000-000057000000}"/>
    <cellStyle name="Note 4 2" xfId="175" xr:uid="{B185C578-298A-4F14-86D5-4651665526B3}"/>
    <cellStyle name="Note 5" xfId="141" xr:uid="{1014CBCB-81F9-40B2-8D7E-C8B8339BF54B}"/>
    <cellStyle name="Output" xfId="39" builtinId="21" customBuiltin="1"/>
    <cellStyle name="Output 2" xfId="77" xr:uid="{00000000-0005-0000-0000-000059000000}"/>
    <cellStyle name="Output 2 2" xfId="85" xr:uid="{00000000-0005-0000-0000-00005A000000}"/>
    <cellStyle name="Output 2 2 2" xfId="89" xr:uid="{00000000-0005-0000-0000-00005B000000}"/>
    <cellStyle name="Output 3" xfId="83" xr:uid="{00000000-0005-0000-0000-00005C000000}"/>
    <cellStyle name="Output 3 2" xfId="173" xr:uid="{8F864D8C-5629-4454-86DF-A5D4085C4463}"/>
    <cellStyle name="Output 4" xfId="142" xr:uid="{8614B3A0-A99A-40AD-BC1E-975C39868468}"/>
    <cellStyle name="Percent" xfId="62" builtinId="5"/>
    <cellStyle name="Percent 2" xfId="76" xr:uid="{00000000-0005-0000-0000-00005E000000}"/>
    <cellStyle name="Percent 2 2" xfId="169" xr:uid="{F488E19C-460A-4624-8EB7-BDD3668119F1}"/>
    <cellStyle name="Percent 3" xfId="79" xr:uid="{00000000-0005-0000-0000-00005F000000}"/>
    <cellStyle name="Percent 4" xfId="157" xr:uid="{6E00AABD-7218-4FD5-A678-8CB9CBA32329}"/>
    <cellStyle name="Title" xfId="40" builtinId="15" customBuiltin="1"/>
    <cellStyle name="Title 2" xfId="143" xr:uid="{4469CF0B-9F38-4CC1-8236-5E0086A08B97}"/>
    <cellStyle name="Total" xfId="41" builtinId="25" customBuiltin="1"/>
    <cellStyle name="Total 2" xfId="86" xr:uid="{00000000-0005-0000-0000-000062000000}"/>
    <cellStyle name="Total 3" xfId="144" xr:uid="{4196C1F8-2C84-4767-87C3-8746338F54D7}"/>
    <cellStyle name="Warning Text" xfId="42" builtinId="11" customBuiltin="1"/>
    <cellStyle name="Warning Text 2" xfId="145" xr:uid="{F2047BEC-358D-4A1A-8793-4C06BA33CCD6}"/>
  </cellStyles>
  <dxfs count="11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numFmt numFmtId="14" formatCode="0.00%"/>
    </dxf>
    <dxf>
      <numFmt numFmtId="165" formatCode="_(* #,##0_);_(* \(#,##0\);_(* &quot;-&quot;_);_(@_)"/>
    </dxf>
    <dxf>
      <numFmt numFmtId="14" formatCode="0.00%"/>
    </dxf>
    <dxf>
      <numFmt numFmtId="165" formatCode="_(* #,##0_);_(* \(#,##0\);_(* &quot;-&quot;_);_(@_)"/>
    </dxf>
    <dxf>
      <font>
        <b/>
        <color theme="1"/>
      </font>
      <border>
        <bottom style="thin">
          <color theme="4"/>
        </bottom>
        <vertical/>
        <horizontal/>
      </border>
    </dxf>
    <dxf>
      <font>
        <color theme="1"/>
      </font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font>
        <b/>
        <color theme="1"/>
      </font>
      <border>
        <bottom style="thin">
          <color theme="4"/>
        </bottom>
        <vertical/>
        <horizontal/>
      </border>
    </dxf>
    <dxf>
      <font>
        <b/>
        <i val="0"/>
        <sz val="12"/>
        <color theme="1"/>
        <name val="Times New Roman"/>
        <scheme val="major"/>
      </font>
      <border diagonalUp="0" diagonalDown="0">
        <left/>
        <right/>
        <top/>
        <bottom/>
        <vertical/>
        <horizontal/>
      </border>
    </dxf>
  </dxfs>
  <tableStyles count="3" defaultTableStyle="TableStyleMedium9" defaultPivotStyle="PivotStyleLight16">
    <tableStyle name="My Style" pivot="0" table="0" count="10" xr9:uid="{00000000-0011-0000-FFFF-FFFF00000000}">
      <tableStyleElement type="wholeTable" dxfId="10"/>
      <tableStyleElement type="headerRow" dxfId="9"/>
    </tableStyle>
    <tableStyle name="Slicer Style 1" pivot="0" table="0" count="1" xr9:uid="{00000000-0011-0000-FFFF-FFFF01000000}">
      <tableStyleElement type="wholeTable" dxfId="8"/>
    </tableStyle>
    <tableStyle name="SlicerStyleDark1 2" pivot="0" table="0" count="10" xr9:uid="{00000000-0011-0000-FFFF-FFFF02000000}">
      <tableStyleElement type="wholeTable" dxfId="7"/>
      <tableStyleElement type="headerRow" dxfId="6"/>
    </tableStyle>
  </tableStyles>
  <colors>
    <mruColors>
      <color rgb="FF996600"/>
      <color rgb="FFCC6600"/>
      <color rgb="FFD2CBB6"/>
      <color rgb="FFDDEBF7"/>
      <color rgb="FFC86866"/>
      <color rgb="FFEC6B0A"/>
      <color rgb="FFFFF2CC"/>
      <color rgb="FFACB9CA"/>
      <color rgb="FFE2EFDA"/>
      <color rgb="FFF2F2F2"/>
    </mruColors>
  </colors>
  <extLst>
    <ext xmlns:x14="http://schemas.microsoft.com/office/spreadsheetml/2009/9/main" uri="{46F421CA-312F-682f-3DD2-61675219B42D}">
      <x14:dxfs count="16"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theme="4" tint="-0.249977111117893"/>
          </font>
          <fill>
            <patternFill patternType="solid">
              <fgColor theme="4" tint="0.59999389629810485"/>
              <bgColor theme="4" tint="0.59999389629810485"/>
            </patternFill>
          </fill>
          <border>
            <left style="thin">
              <color theme="4" tint="0.59999389629810485"/>
            </left>
            <right style="thin">
              <color theme="4" tint="0.59999389629810485"/>
            </right>
            <top style="thin">
              <color theme="4" tint="0.59999389629810485"/>
            </top>
            <bottom style="thin">
              <color theme="4" tint="0.59999389629810485"/>
            </bottom>
            <vertical/>
            <horizontal/>
          </border>
        </dxf>
        <dxf>
          <font>
            <color theme="0"/>
          </font>
          <fill>
            <patternFill patternType="solid">
              <fgColor theme="4"/>
              <bgColor theme="4"/>
            </patternFill>
          </fill>
          <border>
            <left style="thin">
              <color theme="4"/>
            </left>
            <right style="thin">
              <color theme="4"/>
            </right>
            <top style="thin">
              <color theme="4"/>
            </top>
            <bottom style="thin">
              <color theme="4"/>
            </bottom>
            <vertical/>
            <horizontal/>
          </border>
        </dxf>
        <dxf>
          <font>
            <color rgb="FF959595"/>
          </font>
          <fill>
            <patternFill patternType="solid">
              <fgColor rgb="FFDFDFDF"/>
              <bgColor rgb="FFDFDFDF"/>
            </patternFill>
          </fill>
          <border>
            <left style="thin">
              <color rgb="FFDFDFDF"/>
            </left>
            <right style="thin">
              <color rgb="FFDFDFDF"/>
            </right>
            <top style="thin">
              <color rgb="FFDFDFDF"/>
            </top>
            <bottom style="thin">
              <color rgb="FFDFDFDF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C0C0C0"/>
              <bgColor rgb="FFC0C0C0"/>
            </patternFill>
          </fill>
          <border>
            <left style="thin">
              <color rgb="FFC0C0C0"/>
            </left>
            <right style="thin">
              <color rgb="FFC0C0C0"/>
            </right>
            <top style="thin">
              <color rgb="FFC0C0C0"/>
            </top>
            <bottom style="thin">
              <color rgb="FFC0C0C0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theme="4" tint="0.79998168889431442"/>
              <bgColor theme="4" tint="0.79998168889431442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theme="4" tint="0.59999389629810485"/>
              <bgColor theme="4" tint="0.59999389629810485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E0E0E0"/>
            </left>
            <right style="thin">
              <color rgb="FFE0E0E0"/>
            </right>
            <top style="thin">
              <color rgb="FFE0E0E0"/>
            </top>
            <bottom style="thin">
              <color rgb="FFE0E0E0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SlicerStyleLight1">
        <x14:slicerStyle name="My Style">
          <x14:slicerStyleElements>
            <x14:slicerStyleElement type="unselectedItemWithData" dxfId="15"/>
            <x14:slicerStyleElement type="unselectedItemWithNoData" dxfId="14"/>
            <x14:slicerStyleElement type="selectedItemWithData" dxfId="13"/>
            <x14:slicerStyleElement type="selectedItemWithNoData" dxfId="12"/>
            <x14:slicerStyleElement type="hoveredUnselectedItemWithData" dxfId="11"/>
            <x14:slicerStyleElement type="hoveredSelectedItemWithData" dxfId="10"/>
            <x14:slicerStyleElement type="hoveredUnselectedItemWithNoData" dxfId="9"/>
            <x14:slicerStyleElement type="hoveredSelectedItemWithNoData" dxfId="8"/>
          </x14:slicerStyleElements>
        </x14:slicerStyle>
        <x14:slicerStyle name="Slicer Style 1"/>
        <x14:slicerStyle name="SlicerStyleDark1 2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Percentages</a:t>
            </a:r>
          </a:p>
        </c:rich>
      </c:tx>
      <c:layout>
        <c:manualLayout>
          <c:xMode val="edge"/>
          <c:yMode val="edge"/>
          <c:x val="6.5359477124185479E-5"/>
          <c:y val="1.30379836501631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'Data for Dashboard'!$F$6</c:f>
              <c:strCache>
                <c:ptCount val="1"/>
                <c:pt idx="0">
                  <c:v>Percentage</c:v>
                </c:pt>
              </c:strCache>
            </c:strRef>
          </c:tx>
          <c:spPr>
            <a:ln w="22225" cap="rnd" cmpd="sng" algn="ctr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 for Dashboard'!$E$7:$E$11</c:f>
              <c:strCache>
                <c:ptCount val="5"/>
                <c:pt idx="0">
                  <c:v>Material Tax</c:v>
                </c:pt>
                <c:pt idx="1">
                  <c:v>Overhead &amp; Profit (Material)</c:v>
                </c:pt>
                <c:pt idx="2">
                  <c:v>Overhead &amp; Profit (Labor)</c:v>
                </c:pt>
                <c:pt idx="3">
                  <c:v>Bond Fee</c:v>
                </c:pt>
                <c:pt idx="4">
                  <c:v>OH &amp; P on subnotes</c:v>
                </c:pt>
              </c:strCache>
            </c:strRef>
          </c:cat>
          <c:val>
            <c:numRef>
              <c:f>'Data for Dashboard'!$F$7:$F$11</c:f>
              <c:numCache>
                <c:formatCode>0.0%</c:formatCode>
                <c:ptCount val="5"/>
                <c:pt idx="0">
                  <c:v>7.9699999999999993E-2</c:v>
                </c:pt>
                <c:pt idx="1">
                  <c:v>0.19999999999999998</c:v>
                </c:pt>
                <c:pt idx="2">
                  <c:v>0.2</c:v>
                </c:pt>
                <c:pt idx="3">
                  <c:v>1.4999999999999994E-2</c:v>
                </c:pt>
                <c:pt idx="4" formatCode="0%">
                  <c:v>0.05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20-40A2-A2E3-3C03D796B426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solidFill>
                <a:schemeClr val="dk1">
                  <a:lumMod val="35000"/>
                  <a:lumOff val="65000"/>
                  <a:alpha val="33000"/>
                </a:schemeClr>
              </a:solidFill>
              <a:round/>
            </a:ln>
            <a:effectLst/>
          </c:spPr>
        </c:dropLines>
        <c:smooth val="0"/>
        <c:axId val="1883904048"/>
        <c:axId val="1883904528"/>
      </c:lineChart>
      <c:catAx>
        <c:axId val="1883904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3904528"/>
        <c:crosses val="autoZero"/>
        <c:auto val="1"/>
        <c:lblAlgn val="ctr"/>
        <c:lblOffset val="100"/>
        <c:noMultiLvlLbl val="0"/>
      </c:catAx>
      <c:valAx>
        <c:axId val="1883904528"/>
        <c:scaling>
          <c:orientation val="minMax"/>
        </c:scaling>
        <c:delete val="0"/>
        <c:axPos val="l"/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3904048"/>
        <c:crosses val="autoZero"/>
        <c:crossBetween val="between"/>
      </c:valAx>
      <c:spPr>
        <a:gradFill>
          <a:gsLst>
            <a:gs pos="100000">
              <a:schemeClr val="lt1">
                <a:lumMod val="95000"/>
              </a:schemeClr>
            </a:gs>
            <a:gs pos="0">
              <a:schemeClr val="lt1"/>
            </a:gs>
          </a:gsLst>
          <a:lin ang="5400000" scaled="0"/>
        </a:gradFill>
        <a:ln>
          <a:noFill/>
        </a:ln>
        <a:effectLst/>
      </c:spPr>
    </c:plotArea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404632086493623E-2"/>
          <c:y val="0.12097897842288517"/>
          <c:w val="0.79383657791407203"/>
          <c:h val="0.81698759556804557"/>
        </c:manualLayout>
      </c:layout>
      <c:doughnutChart>
        <c:varyColors val="1"/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F63-4D56-83CB-08E381A43E1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37E-48BA-8C93-16BD3B98DB9F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F37E-48BA-8C93-16BD3B98DB9F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F37E-48BA-8C93-16BD3B98DB9F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F37E-48BA-8C93-16BD3B98DB9F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F37E-48BA-8C93-16BD3B98DB9F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F37E-48BA-8C93-16BD3B98DB9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'Data for Dashboard'!$B$4:$B$10</c:f>
              <c:strCache>
                <c:ptCount val="7"/>
                <c:pt idx="0">
                  <c:v>Type</c:v>
                </c:pt>
                <c:pt idx="1">
                  <c:v>Material</c:v>
                </c:pt>
                <c:pt idx="2">
                  <c:v>Labor</c:v>
                </c:pt>
                <c:pt idx="3">
                  <c:v>Material Tax</c:v>
                </c:pt>
                <c:pt idx="4">
                  <c:v>Overhead &amp; Profit (Material)</c:v>
                </c:pt>
                <c:pt idx="5">
                  <c:v>Overhead &amp; Profit (Labor)</c:v>
                </c:pt>
                <c:pt idx="6">
                  <c:v>Bond Fee</c:v>
                </c:pt>
              </c:strCache>
            </c:strRef>
          </c:cat>
          <c:val>
            <c:numRef>
              <c:f>'Data for Dashboard'!$D$4:$D$10</c:f>
              <c:numCache>
                <c:formatCode>0%</c:formatCode>
                <c:ptCount val="7"/>
                <c:pt idx="1">
                  <c:v>0.41629571669402377</c:v>
                </c:pt>
                <c:pt idx="2">
                  <c:v>0.37707337185292095</c:v>
                </c:pt>
                <c:pt idx="3">
                  <c:v>3.3178768620513693E-2</c:v>
                </c:pt>
                <c:pt idx="4">
                  <c:v>8.3259143338804756E-2</c:v>
                </c:pt>
                <c:pt idx="5">
                  <c:v>7.5414674370584189E-2</c:v>
                </c:pt>
                <c:pt idx="6">
                  <c:v>1.4778325123152703E-2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37E-48BA-8C93-16BD3B98DB9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  <c:extLst>
          <c:ext xmlns:c15="http://schemas.microsoft.com/office/drawing/2012/chart" uri="{02D57815-91ED-43cb-92C2-25804820EDAC}">
            <c15:filteredPieSeries>
              <c15:ser>
                <c:idx val="0"/>
                <c:order val="0"/>
                <c:dPt>
                  <c:idx val="0"/>
                  <c:bubble3D val="0"/>
                  <c:spPr>
                    <a:solidFill>
                      <a:schemeClr val="accent1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0F-1F63-4D56-83CB-08E381A43E15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1-1F63-4D56-83CB-08E381A43E15}"/>
                    </c:ext>
                  </c:extLst>
                </c:dPt>
                <c:dPt>
                  <c:idx val="2"/>
                  <c:bubble3D val="0"/>
                  <c:spPr>
                    <a:solidFill>
                      <a:schemeClr val="accent3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3-1F63-4D56-83CB-08E381A43E15}"/>
                    </c:ext>
                  </c:extLst>
                </c:dPt>
                <c:dPt>
                  <c:idx val="3"/>
                  <c:bubble3D val="0"/>
                  <c:spPr>
                    <a:solidFill>
                      <a:schemeClr val="accent4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5-1F63-4D56-83CB-08E381A43E15}"/>
                    </c:ext>
                  </c:extLst>
                </c:dPt>
                <c:dPt>
                  <c:idx val="4"/>
                  <c:bubble3D val="0"/>
                  <c:spPr>
                    <a:solidFill>
                      <a:schemeClr val="accent5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7-1F63-4D56-83CB-08E381A43E15}"/>
                    </c:ext>
                  </c:extLst>
                </c:dPt>
                <c:dPt>
                  <c:idx val="5"/>
                  <c:bubble3D val="0"/>
                  <c:spPr>
                    <a:solidFill>
                      <a:schemeClr val="accent6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9-1F63-4D56-83CB-08E381A43E15}"/>
                    </c:ext>
                  </c:extLst>
                </c:dPt>
                <c:dPt>
                  <c:idx val="6"/>
                  <c:bubble3D val="0"/>
                  <c:spPr>
                    <a:solidFill>
                      <a:schemeClr val="accent1">
                        <a:lumMod val="60000"/>
                      </a:schemeClr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B-1F63-4D56-83CB-08E381A43E15}"/>
                    </c:ext>
                  </c:extLst>
                </c:dPt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'Data for Dashboard'!$B$4:$B$10</c15:sqref>
                        </c15:formulaRef>
                      </c:ext>
                    </c:extLst>
                    <c:strCache>
                      <c:ptCount val="7"/>
                      <c:pt idx="0">
                        <c:v>Type</c:v>
                      </c:pt>
                      <c:pt idx="1">
                        <c:v>Material</c:v>
                      </c:pt>
                      <c:pt idx="2">
                        <c:v>Labor</c:v>
                      </c:pt>
                      <c:pt idx="3">
                        <c:v>Material Tax</c:v>
                      </c:pt>
                      <c:pt idx="4">
                        <c:v>Overhead &amp; Profit (Material)</c:v>
                      </c:pt>
                      <c:pt idx="5">
                        <c:v>Overhead &amp; Profit (Labor)</c:v>
                      </c:pt>
                      <c:pt idx="6">
                        <c:v>Bond Fee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'Data for Dashboard'!$C$4:$C$10</c15:sqref>
                        </c15:formulaRef>
                      </c:ext>
                    </c:extLst>
                    <c:numCache>
                      <c:formatCode>_("$"* #,##0.00_);_("$"* \(#,##0.00\);_("$"* "-"??_);_(@_)</c:formatCode>
                      <c:ptCount val="7"/>
                      <c:pt idx="0" formatCode="General">
                        <c:v>0</c:v>
                      </c:pt>
                      <c:pt idx="1">
                        <c:v>690140.56545999995</c:v>
                      </c:pt>
                      <c:pt idx="2">
                        <c:v>625117.24150588538</c:v>
                      </c:pt>
                      <c:pt idx="3">
                        <c:v>55004.203067161994</c:v>
                      </c:pt>
                      <c:pt idx="4">
                        <c:v>138028.11309199999</c:v>
                      </c:pt>
                      <c:pt idx="5">
                        <c:v>125023.44830117708</c:v>
                      </c:pt>
                      <c:pt idx="6">
                        <c:v>24499.703571393355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F37E-48BA-8C93-16BD3B98DB9F}"/>
                  </c:ext>
                </c:extLst>
              </c15:ser>
            </c15:filteredPieSeries>
          </c:ext>
        </c:extLst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Cost Summary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gradFill>
              <a:gsLst>
                <a:gs pos="100000">
                  <a:schemeClr val="accent1">
                    <a:alpha val="0"/>
                  </a:schemeClr>
                </a:gs>
                <a:gs pos="50000">
                  <a:schemeClr val="accent1"/>
                </a:gs>
              </a:gsLst>
              <a:lin ang="5400000" scaled="0"/>
            </a:gra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'COST SUMMARY'!$C$20:$C$25</c:f>
              <c:strCache>
                <c:ptCount val="6"/>
                <c:pt idx="0">
                  <c:v>General Requirements</c:v>
                </c:pt>
                <c:pt idx="1">
                  <c:v>Demo - Building</c:v>
                </c:pt>
                <c:pt idx="2">
                  <c:v>Electrical</c:v>
                </c:pt>
                <c:pt idx="3">
                  <c:v>Communications</c:v>
                </c:pt>
                <c:pt idx="4">
                  <c:v>Electronic Safety &amp; Security</c:v>
                </c:pt>
                <c:pt idx="5">
                  <c:v>Earthwork</c:v>
                </c:pt>
              </c:strCache>
            </c:strRef>
          </c:cat>
          <c:val>
            <c:numRef>
              <c:f>'COST SUMMARY'!$F$20:$F$25</c:f>
              <c:numCache>
                <c:formatCode>_("$"* #,##0_);_("$"* \(#,##0\);_("$"* "-"??_);_(@_)</c:formatCode>
                <c:ptCount val="6"/>
                <c:pt idx="0">
                  <c:v>108211.40353638527</c:v>
                </c:pt>
                <c:pt idx="1">
                  <c:v>1857.82</c:v>
                </c:pt>
                <c:pt idx="2">
                  <c:v>1072764.7860344998</c:v>
                </c:pt>
                <c:pt idx="3">
                  <c:v>76659.651195000013</c:v>
                </c:pt>
                <c:pt idx="4">
                  <c:v>13661.2462</c:v>
                </c:pt>
                <c:pt idx="5">
                  <c:v>42102.899999999994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66-4847-B102-4D9DD2D8C6A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gapDepth val="0"/>
        <c:shape val="box"/>
        <c:axId val="161295776"/>
        <c:axId val="161302016"/>
        <c:axId val="0"/>
      </c:bar3DChart>
      <c:catAx>
        <c:axId val="161295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302016"/>
        <c:crosses val="autoZero"/>
        <c:auto val="1"/>
        <c:lblAlgn val="ctr"/>
        <c:lblOffset val="100"/>
        <c:noMultiLvlLbl val="0"/>
      </c:catAx>
      <c:valAx>
        <c:axId val="161302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2957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0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b="0" kern="1200" spc="20" baseline="0"/>
  </cs:categoryAxis>
  <cs:chartArea mods="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 cmpd="sng" algn="ctr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  <a:alpha val="33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dk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gradFill>
        <a:gsLst>
          <a:gs pos="100000">
            <a:schemeClr val="lt1">
              <a:lumMod val="95000"/>
            </a:schemeClr>
          </a:gs>
          <a:gs pos="0">
            <a:schemeClr val="lt1"/>
          </a:gs>
        </a:gsLst>
        <a:lin ang="5400000" scaled="0"/>
      </a:gradFill>
    </cs:spPr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/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alpha val="0"/>
            </a:schemeClr>
          </a:gs>
          <a:gs pos="50000">
            <a:schemeClr val="phClr"/>
          </a:gs>
        </a:gsLst>
        <a:lin ang="5400000" scaled="0"/>
      </a:gradFill>
      <a:sp3d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401083</xdr:colOff>
      <xdr:row>5</xdr:row>
      <xdr:rowOff>2422</xdr:rowOff>
    </xdr:from>
    <xdr:to>
      <xdr:col>3</xdr:col>
      <xdr:colOff>289897</xdr:colOff>
      <xdr:row>9</xdr:row>
      <xdr:rowOff>167775</xdr:rowOff>
    </xdr:to>
    <xdr:sp macro="" textlink="'COST SUMMARY'!D5">
      <xdr:nvSpPr>
        <xdr:cNvPr id="12" name="Rectangle: Rounded Corners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401083" y="1051293"/>
          <a:ext cx="2094132" cy="103492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1902EB2D-1498-4DCC-B054-4F51250BA9B8}" type="TxLink">
            <a:rPr lang="en-US" sz="1600" b="1" i="0" u="none" strike="noStrike">
              <a:solidFill>
                <a:schemeClr val="tx1"/>
              </a:solidFill>
              <a:latin typeface="+mn-lt"/>
              <a:cs typeface="Segoe UI" panose="020B0502040204020203" pitchFamily="34" charset="0"/>
            </a:rPr>
            <a:pPr algn="ctr"/>
            <a:t>DALLAS EV CHARGING</a:t>
          </a:fld>
          <a:endParaRPr lang="ur-PK" sz="1100" b="1">
            <a:solidFill>
              <a:schemeClr val="tx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0</xdr:col>
      <xdr:colOff>7620</xdr:colOff>
      <xdr:row>10</xdr:row>
      <xdr:rowOff>121920</xdr:rowOff>
    </xdr:from>
    <xdr:to>
      <xdr:col>18</xdr:col>
      <xdr:colOff>685800</xdr:colOff>
      <xdr:row>10</xdr:row>
      <xdr:rowOff>121920</xdr:rowOff>
    </xdr:to>
    <xdr:cxnSp macro="">
      <xdr:nvCxnSpPr>
        <xdr:cNvPr id="24" name="Straight Connector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CxnSpPr/>
      </xdr:nvCxnSpPr>
      <xdr:spPr>
        <a:xfrm>
          <a:off x="7620" y="2232660"/>
          <a:ext cx="13845540" cy="0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2">
          <a:schemeClr val="accent4"/>
        </a:lnRef>
        <a:fillRef idx="0">
          <a:schemeClr val="accent4"/>
        </a:fillRef>
        <a:effectRef idx="1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0</xdr:col>
      <xdr:colOff>7620</xdr:colOff>
      <xdr:row>4</xdr:row>
      <xdr:rowOff>99060</xdr:rowOff>
    </xdr:from>
    <xdr:to>
      <xdr:col>18</xdr:col>
      <xdr:colOff>685800</xdr:colOff>
      <xdr:row>4</xdr:row>
      <xdr:rowOff>99060</xdr:rowOff>
    </xdr:to>
    <xdr:cxnSp macro="">
      <xdr:nvCxnSpPr>
        <xdr:cNvPr id="26" name="Straight Connector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CxnSpPr/>
      </xdr:nvCxnSpPr>
      <xdr:spPr>
        <a:xfrm>
          <a:off x="7620" y="943610"/>
          <a:ext cx="13682980" cy="0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2">
          <a:schemeClr val="accent4"/>
        </a:lnRef>
        <a:fillRef idx="0">
          <a:schemeClr val="accent4"/>
        </a:fillRef>
        <a:effectRef idx="1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383268</xdr:colOff>
      <xdr:row>22</xdr:row>
      <xdr:rowOff>190500</xdr:rowOff>
    </xdr:from>
    <xdr:to>
      <xdr:col>7</xdr:col>
      <xdr:colOff>371930</xdr:colOff>
      <xdr:row>37</xdr:row>
      <xdr:rowOff>4884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absolute">
    <xdr:from>
      <xdr:col>3</xdr:col>
      <xdr:colOff>439270</xdr:colOff>
      <xdr:row>4</xdr:row>
      <xdr:rowOff>181717</xdr:rowOff>
    </xdr:from>
    <xdr:to>
      <xdr:col>6</xdr:col>
      <xdr:colOff>345230</xdr:colOff>
      <xdr:row>9</xdr:row>
      <xdr:rowOff>149846</xdr:rowOff>
    </xdr:to>
    <xdr:sp macro="" textlink="'COST SUMMARY'!D4">
      <xdr:nvSpPr>
        <xdr:cNvPr id="20" name="Rectangle: Rounded Corners 1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2644588" y="1033364"/>
          <a:ext cx="2111277" cy="1034929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20DEE40F-1C4B-48F8-9CE2-D2E98DABD0E4}" type="TxLink">
            <a:rPr lang="en-US" sz="16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18/02/2026</a:t>
          </a:fld>
          <a:endParaRPr lang="ur-PK" sz="11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</xdr:col>
      <xdr:colOff>453571</xdr:colOff>
      <xdr:row>8</xdr:row>
      <xdr:rowOff>27214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170214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>
            <a:latin typeface="+mn-lt"/>
          </a:endParaRPr>
        </a:p>
      </xdr:txBody>
    </xdr:sp>
    <xdr:clientData/>
  </xdr:oneCellAnchor>
  <xdr:twoCellAnchor editAs="absolute">
    <xdr:from>
      <xdr:col>6</xdr:col>
      <xdr:colOff>477883</xdr:colOff>
      <xdr:row>5</xdr:row>
      <xdr:rowOff>2</xdr:rowOff>
    </xdr:from>
    <xdr:to>
      <xdr:col>9</xdr:col>
      <xdr:colOff>360982</xdr:colOff>
      <xdr:row>9</xdr:row>
      <xdr:rowOff>167777</xdr:rowOff>
    </xdr:to>
    <xdr:sp macro="" textlink="'COST SUMMARY'!L6">
      <xdr:nvSpPr>
        <xdr:cNvPr id="23" name="Rectangle: Rounded Corners 1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4762500" y="1043216"/>
          <a:ext cx="2048268" cy="100996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283A79BE-2A4A-4D76-8606-07A6EEE87078}" type="TxLink">
            <a:rPr lang="en-US" sz="16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 $1,657,813 </a:t>
          </a:fld>
          <a:endParaRPr lang="ur-PK" sz="11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 editAs="absolute">
    <xdr:from>
      <xdr:col>9</xdr:col>
      <xdr:colOff>474617</xdr:colOff>
      <xdr:row>5</xdr:row>
      <xdr:rowOff>20502</xdr:rowOff>
    </xdr:from>
    <xdr:to>
      <xdr:col>12</xdr:col>
      <xdr:colOff>397722</xdr:colOff>
      <xdr:row>9</xdr:row>
      <xdr:rowOff>174942</xdr:rowOff>
    </xdr:to>
    <xdr:sp macro="" textlink="'COST SUMMARY'!L4">
      <xdr:nvSpPr>
        <xdr:cNvPr id="32" name="Rectangle: Rounded Corners 1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6939643" y="1052286"/>
          <a:ext cx="2048268" cy="1009967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25C55B40-6FC2-4CEC-A10E-300B3D7CAB5B}" type="TxLink">
            <a:rPr lang="en-US" sz="14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Private (Non-Prevailing wage)</a:t>
          </a:fld>
          <a:endParaRPr lang="ur-PK" sz="105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 editAs="absolute">
    <xdr:from>
      <xdr:col>12</xdr:col>
      <xdr:colOff>515620</xdr:colOff>
      <xdr:row>5</xdr:row>
      <xdr:rowOff>20502</xdr:rowOff>
    </xdr:from>
    <xdr:to>
      <xdr:col>15</xdr:col>
      <xdr:colOff>398719</xdr:colOff>
      <xdr:row>9</xdr:row>
      <xdr:rowOff>174942</xdr:rowOff>
    </xdr:to>
    <xdr:sp macro="" textlink="'COST SUMMARY'!D6">
      <xdr:nvSpPr>
        <xdr:cNvPr id="33" name="Rectangle: Rounded Corners 1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9107714" y="1052286"/>
          <a:ext cx="2048268" cy="1009967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D0C76CD0-574D-4B99-BABE-CA94C7F33062}" type="TxLink">
            <a:rPr lang="en-US" sz="14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1137 MEDICAL DISTRICT DR, DALLAS, TX 75207</a:t>
          </a:fld>
          <a:endParaRPr lang="ur-PK" sz="105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 editAs="absolute">
    <xdr:from>
      <xdr:col>15</xdr:col>
      <xdr:colOff>535213</xdr:colOff>
      <xdr:row>5</xdr:row>
      <xdr:rowOff>20502</xdr:rowOff>
    </xdr:from>
    <xdr:to>
      <xdr:col>18</xdr:col>
      <xdr:colOff>342838</xdr:colOff>
      <xdr:row>9</xdr:row>
      <xdr:rowOff>174942</xdr:rowOff>
    </xdr:to>
    <xdr:sp macro="" textlink="'COST SUMMARY'!L5">
      <xdr:nvSpPr>
        <xdr:cNvPr id="34" name="Rectangle: Rounded Corners 1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11284856" y="1052286"/>
          <a:ext cx="2048268" cy="1009967"/>
        </a:xfrm>
        <a:prstGeom prst="rect">
          <a:avLst/>
        </a:prstGeom>
        <a:solidFill>
          <a:schemeClr val="accent3">
            <a:lumMod val="75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735D94A9-28B8-4AFD-8E4F-1980FA0F140C}" type="TxLink">
            <a:rPr lang="en-US" sz="16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ELECTRICAL</a:t>
          </a:fld>
          <a:endParaRPr lang="ur-PK" sz="11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0</xdr:col>
      <xdr:colOff>423854</xdr:colOff>
      <xdr:row>5</xdr:row>
      <xdr:rowOff>1970</xdr:rowOff>
    </xdr:from>
    <xdr:ext cx="1053237" cy="280205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23854" y="1026729"/>
          <a:ext cx="1053237" cy="280205"/>
        </a:xfrm>
        <a:prstGeom prst="rect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latin typeface="+mn-lt"/>
              <a:cs typeface="Segoe UI" panose="020B0502040204020203" pitchFamily="34" charset="0"/>
            </a:rPr>
            <a:t>Project Name</a:t>
          </a:r>
        </a:p>
      </xdr:txBody>
    </xdr:sp>
    <xdr:clientData/>
  </xdr:oneCellAnchor>
  <xdr:oneCellAnchor>
    <xdr:from>
      <xdr:col>3</xdr:col>
      <xdr:colOff>444499</xdr:colOff>
      <xdr:row>4</xdr:row>
      <xdr:rowOff>190874</xdr:rowOff>
    </xdr:from>
    <xdr:ext cx="488467" cy="280205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2696881" y="1020109"/>
          <a:ext cx="488467" cy="280205"/>
        </a:xfrm>
        <a:prstGeom prst="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Date</a:t>
          </a:r>
        </a:p>
      </xdr:txBody>
    </xdr:sp>
    <xdr:clientData/>
  </xdr:oneCellAnchor>
  <xdr:oneCellAnchor>
    <xdr:from>
      <xdr:col>6</xdr:col>
      <xdr:colOff>469899</xdr:colOff>
      <xdr:row>4</xdr:row>
      <xdr:rowOff>190874</xdr:rowOff>
    </xdr:from>
    <xdr:ext cx="727122" cy="280205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4974664" y="1020109"/>
          <a:ext cx="727122" cy="280205"/>
        </a:xfrm>
        <a:prstGeom prst="rect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Base</a:t>
          </a:r>
          <a:r>
            <a:rPr lang="en-US" sz="1200" b="1">
              <a:solidFill>
                <a:schemeClr val="bg1"/>
              </a:solidFill>
              <a:latin typeface="+mn-lt"/>
              <a:cs typeface="Segoe UI" panose="020B0502040204020203" pitchFamily="34" charset="0"/>
            </a:rPr>
            <a:t> </a:t>
          </a:r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Bid</a:t>
          </a:r>
        </a:p>
      </xdr:txBody>
    </xdr:sp>
    <xdr:clientData/>
  </xdr:oneCellAnchor>
  <xdr:oneCellAnchor>
    <xdr:from>
      <xdr:col>9</xdr:col>
      <xdr:colOff>463549</xdr:colOff>
      <xdr:row>4</xdr:row>
      <xdr:rowOff>195730</xdr:rowOff>
    </xdr:from>
    <xdr:ext cx="982385" cy="280205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7220696" y="1024965"/>
          <a:ext cx="982385" cy="280205"/>
        </a:xfrm>
        <a:prstGeom prst="rect">
          <a:avLst/>
        </a:prstGeom>
        <a:solidFill>
          <a:schemeClr val="tx2">
            <a:lumMod val="60000"/>
            <a:lumOff val="4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Project</a:t>
          </a:r>
          <a:r>
            <a:rPr lang="en-US" sz="1200" b="1" baseline="0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 Type</a:t>
          </a:r>
          <a:endParaRPr lang="en-US" sz="12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oneCellAnchor>
  <xdr:oneCellAnchor>
    <xdr:from>
      <xdr:col>12</xdr:col>
      <xdr:colOff>489825</xdr:colOff>
      <xdr:row>4</xdr:row>
      <xdr:rowOff>194236</xdr:rowOff>
    </xdr:from>
    <xdr:ext cx="697948" cy="280205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9554997" y="1021926"/>
          <a:ext cx="697948" cy="280205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Address</a:t>
          </a:r>
        </a:p>
      </xdr:txBody>
    </xdr:sp>
    <xdr:clientData/>
  </xdr:oneCellAnchor>
  <xdr:oneCellAnchor>
    <xdr:from>
      <xdr:col>15</xdr:col>
      <xdr:colOff>520700</xdr:colOff>
      <xdr:row>5</xdr:row>
      <xdr:rowOff>1868</xdr:rowOff>
    </xdr:from>
    <xdr:ext cx="1116268" cy="280205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11782612" y="1032809"/>
          <a:ext cx="1116268" cy="280205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Scope of Work</a:t>
          </a:r>
        </a:p>
      </xdr:txBody>
    </xdr:sp>
    <xdr:clientData/>
  </xdr:oneCellAnchor>
  <xdr:twoCellAnchor>
    <xdr:from>
      <xdr:col>10</xdr:col>
      <xdr:colOff>352962</xdr:colOff>
      <xdr:row>37</xdr:row>
      <xdr:rowOff>122051</xdr:rowOff>
    </xdr:from>
    <xdr:to>
      <xdr:col>16</xdr:col>
      <xdr:colOff>188851</xdr:colOff>
      <xdr:row>40</xdr:row>
      <xdr:rowOff>58551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511144" y="7672778"/>
          <a:ext cx="4176980" cy="5253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US" sz="1800" b="1"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0</xdr:col>
      <xdr:colOff>705972</xdr:colOff>
      <xdr:row>37</xdr:row>
      <xdr:rowOff>56030</xdr:rowOff>
    </xdr:from>
    <xdr:to>
      <xdr:col>7</xdr:col>
      <xdr:colOff>365646</xdr:colOff>
      <xdr:row>40</xdr:row>
      <xdr:rowOff>59691</xdr:rowOff>
    </xdr:to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705972" y="7563971"/>
          <a:ext cx="4836792" cy="59757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US" sz="1800" b="1">
            <a:solidFill>
              <a:schemeClr val="tx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15</xdr:col>
      <xdr:colOff>28516</xdr:colOff>
      <xdr:row>11</xdr:row>
      <xdr:rowOff>223316</xdr:rowOff>
    </xdr:from>
    <xdr:to>
      <xdr:col>18</xdr:col>
      <xdr:colOff>304521</xdr:colOff>
      <xdr:row>14</xdr:row>
      <xdr:rowOff>97042</xdr:rowOff>
    </xdr:to>
    <xdr:sp macro="" textlink="'COST SUMMARY'!E26">
      <xdr:nvSpPr>
        <xdr:cNvPr id="15" name="Rectangl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1315641" y="2518841"/>
          <a:ext cx="2609630" cy="559526"/>
        </a:xfrm>
        <a:prstGeom prst="rect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2AF80FDA-E973-421C-82E6-1CE4A90EAF8A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$690,141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7</xdr:col>
      <xdr:colOff>598025</xdr:colOff>
      <xdr:row>11</xdr:row>
      <xdr:rowOff>228600</xdr:rowOff>
    </xdr:from>
    <xdr:to>
      <xdr:col>14</xdr:col>
      <xdr:colOff>598715</xdr:colOff>
      <xdr:row>37</xdr:row>
      <xdr:rowOff>161925</xdr:rowOff>
    </xdr:to>
    <xdr:graphicFrame macro="">
      <xdr:nvGraphicFramePr>
        <xdr:cNvPr id="54" name="Chart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15</xdr:col>
      <xdr:colOff>20469</xdr:colOff>
      <xdr:row>11</xdr:row>
      <xdr:rowOff>225460</xdr:rowOff>
    </xdr:from>
    <xdr:ext cx="1536661" cy="602799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11326230" y="2519743"/>
          <a:ext cx="1536661" cy="602799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Material</a:t>
          </a:r>
        </a:p>
      </xdr:txBody>
    </xdr:sp>
    <xdr:clientData/>
  </xdr:oneCellAnchor>
  <xdr:twoCellAnchor>
    <xdr:from>
      <xdr:col>15</xdr:col>
      <xdr:colOff>43928</xdr:colOff>
      <xdr:row>16</xdr:row>
      <xdr:rowOff>61598</xdr:rowOff>
    </xdr:from>
    <xdr:to>
      <xdr:col>18</xdr:col>
      <xdr:colOff>319933</xdr:colOff>
      <xdr:row>19</xdr:row>
      <xdr:rowOff>22410</xdr:rowOff>
    </xdr:to>
    <xdr:sp macro="" textlink="'COST SUMMARY'!D26">
      <xdr:nvSpPr>
        <xdr:cNvPr id="56" name="Rectangle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10984071" y="3425284"/>
          <a:ext cx="2551119" cy="548640"/>
        </a:xfrm>
        <a:prstGeom prst="rect">
          <a:avLst/>
        </a:prstGeom>
        <a:solidFill>
          <a:schemeClr val="accent3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1DF2909F-5ADE-4FB0-BDC2-66594137DBF8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$625,117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35881</xdr:colOff>
      <xdr:row>16</xdr:row>
      <xdr:rowOff>54797</xdr:rowOff>
    </xdr:from>
    <xdr:ext cx="1512473" cy="557784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11341642" y="3450667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Labor</a:t>
          </a:r>
        </a:p>
      </xdr:txBody>
    </xdr:sp>
    <xdr:clientData/>
  </xdr:oneCellAnchor>
  <xdr:twoCellAnchor>
    <xdr:from>
      <xdr:col>15</xdr:col>
      <xdr:colOff>43928</xdr:colOff>
      <xdr:row>20</xdr:row>
      <xdr:rowOff>182909</xdr:rowOff>
    </xdr:from>
    <xdr:to>
      <xdr:col>18</xdr:col>
      <xdr:colOff>319933</xdr:colOff>
      <xdr:row>23</xdr:row>
      <xdr:rowOff>78406</xdr:rowOff>
    </xdr:to>
    <xdr:sp macro="" textlink="'COST SUMMARY'!F27">
      <xdr:nvSpPr>
        <xdr:cNvPr id="58" name="Rectangle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/>
      </xdr:nvSpPr>
      <xdr:spPr>
        <a:xfrm>
          <a:off x="10984071" y="4330366"/>
          <a:ext cx="2551119" cy="548640"/>
        </a:xfrm>
        <a:prstGeom prst="rect">
          <a:avLst/>
        </a:prstGeom>
        <a:solidFill>
          <a:schemeClr val="accent4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56C18716-F7A6-468B-B58C-561736995BB2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$55,004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35881</xdr:colOff>
      <xdr:row>20</xdr:row>
      <xdr:rowOff>184391</xdr:rowOff>
    </xdr:from>
    <xdr:ext cx="1512473" cy="557784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11008681" y="4360151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Material Tax</a:t>
          </a:r>
        </a:p>
      </xdr:txBody>
    </xdr:sp>
    <xdr:clientData/>
  </xdr:oneCellAnchor>
  <xdr:twoCellAnchor>
    <xdr:from>
      <xdr:col>15</xdr:col>
      <xdr:colOff>54814</xdr:colOff>
      <xdr:row>25</xdr:row>
      <xdr:rowOff>42962</xdr:rowOff>
    </xdr:from>
    <xdr:to>
      <xdr:col>18</xdr:col>
      <xdr:colOff>330819</xdr:colOff>
      <xdr:row>27</xdr:row>
      <xdr:rowOff>167059</xdr:rowOff>
    </xdr:to>
    <xdr:sp macro="" textlink="'COST SUMMARY'!F28">
      <xdr:nvSpPr>
        <xdr:cNvPr id="60" name="Rectangle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/>
      </xdr:nvSpPr>
      <xdr:spPr>
        <a:xfrm>
          <a:off x="10994957" y="5235448"/>
          <a:ext cx="2551119" cy="548640"/>
        </a:xfrm>
        <a:prstGeom prst="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050ACC7F-05D1-4092-856F-9A0FA36A0215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$138,028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46767</xdr:colOff>
      <xdr:row>25</xdr:row>
      <xdr:rowOff>44444</xdr:rowOff>
    </xdr:from>
    <xdr:ext cx="1512473" cy="557784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11019567" y="5271764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Material</a:t>
          </a:r>
          <a:r>
            <a:rPr lang="en-US" sz="1400" b="1" baseline="0">
              <a:latin typeface="+mn-lt"/>
              <a:cs typeface="Segoe UI" panose="020B0502040204020203" pitchFamily="34" charset="0"/>
            </a:rPr>
            <a:t> Profit</a:t>
          </a:r>
          <a:endParaRPr lang="en-US" sz="1400" b="1">
            <a:latin typeface="+mn-lt"/>
            <a:cs typeface="Segoe UI" panose="020B0502040204020203" pitchFamily="34" charset="0"/>
          </a:endParaRPr>
        </a:p>
      </xdr:txBody>
    </xdr:sp>
    <xdr:clientData/>
  </xdr:oneCellAnchor>
  <xdr:twoCellAnchor>
    <xdr:from>
      <xdr:col>15</xdr:col>
      <xdr:colOff>54814</xdr:colOff>
      <xdr:row>29</xdr:row>
      <xdr:rowOff>131616</xdr:rowOff>
    </xdr:from>
    <xdr:to>
      <xdr:col>18</xdr:col>
      <xdr:colOff>330819</xdr:colOff>
      <xdr:row>32</xdr:row>
      <xdr:rowOff>92427</xdr:rowOff>
    </xdr:to>
    <xdr:sp macro="" textlink="'COST SUMMARY'!F29">
      <xdr:nvSpPr>
        <xdr:cNvPr id="62" name="Rectangle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/>
      </xdr:nvSpPr>
      <xdr:spPr>
        <a:xfrm>
          <a:off x="10994957" y="6140530"/>
          <a:ext cx="2551119" cy="54864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A9EAC16A-A07E-41B0-A80A-8BA3141E54C0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$125,023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46767</xdr:colOff>
      <xdr:row>29</xdr:row>
      <xdr:rowOff>133098</xdr:rowOff>
    </xdr:from>
    <xdr:ext cx="1512473" cy="557784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11019567" y="6183378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Labor Profit</a:t>
          </a:r>
        </a:p>
      </xdr:txBody>
    </xdr:sp>
    <xdr:clientData/>
  </xdr:oneCellAnchor>
  <xdr:twoCellAnchor>
    <xdr:from>
      <xdr:col>15</xdr:col>
      <xdr:colOff>43928</xdr:colOff>
      <xdr:row>34</xdr:row>
      <xdr:rowOff>13439</xdr:rowOff>
    </xdr:from>
    <xdr:to>
      <xdr:col>18</xdr:col>
      <xdr:colOff>319933</xdr:colOff>
      <xdr:row>36</xdr:row>
      <xdr:rowOff>170193</xdr:rowOff>
    </xdr:to>
    <xdr:sp macro="" textlink="'BASE BID'!R352">
      <xdr:nvSpPr>
        <xdr:cNvPr id="64" name="Rectangle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10984071" y="7045610"/>
          <a:ext cx="2551119" cy="548640"/>
        </a:xfrm>
        <a:prstGeom prst="rect">
          <a:avLst/>
        </a:prstGeom>
        <a:solidFill>
          <a:srgbClr val="996600"/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45A2797F-00D5-42F5-9898-110879AFFCDD}" type="TxLink">
            <a:rPr lang="en-US" sz="1200" b="1" i="0" u="none" strike="noStrike">
              <a:solidFill>
                <a:schemeClr val="bg1"/>
              </a:solidFill>
              <a:latin typeface="+mn-lt"/>
              <a:cs typeface="Calibri"/>
            </a:rPr>
            <a:pPr algn="r"/>
            <a:t> $24,500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35881</xdr:colOff>
      <xdr:row>34</xdr:row>
      <xdr:rowOff>14921</xdr:rowOff>
    </xdr:from>
    <xdr:ext cx="1512473" cy="557784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/>
      </xdr:nvSpPr>
      <xdr:spPr>
        <a:xfrm>
          <a:off x="11008681" y="7101521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Bond</a:t>
          </a:r>
          <a:r>
            <a:rPr lang="en-US" sz="1400" b="1" baseline="0">
              <a:latin typeface="+mn-lt"/>
              <a:cs typeface="Segoe UI" panose="020B0502040204020203" pitchFamily="34" charset="0"/>
            </a:rPr>
            <a:t> Fee</a:t>
          </a:r>
          <a:endParaRPr lang="en-US" sz="1400" b="1">
            <a:latin typeface="+mn-lt"/>
            <a:cs typeface="Segoe UI" panose="020B0502040204020203" pitchFamily="34" charset="0"/>
          </a:endParaRPr>
        </a:p>
      </xdr:txBody>
    </xdr:sp>
    <xdr:clientData/>
  </xdr:oneCellAnchor>
  <xdr:twoCellAnchor>
    <xdr:from>
      <xdr:col>0</xdr:col>
      <xdr:colOff>426720</xdr:colOff>
      <xdr:row>12</xdr:row>
      <xdr:rowOff>95281</xdr:rowOff>
    </xdr:from>
    <xdr:to>
      <xdr:col>7</xdr:col>
      <xdr:colOff>237183</xdr:colOff>
      <xdr:row>21</xdr:row>
      <xdr:rowOff>68580</xdr:rowOff>
    </xdr:to>
    <xdr:grpSp>
      <xdr:nvGrpSpPr>
        <xdr:cNvPr id="69" name="Group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GrpSpPr/>
      </xdr:nvGrpSpPr>
      <xdr:grpSpPr>
        <a:xfrm>
          <a:off x="422564" y="2618194"/>
          <a:ext cx="4953962" cy="1745988"/>
          <a:chOff x="628858" y="2663813"/>
          <a:chExt cx="4729061" cy="2268533"/>
        </a:xfrm>
      </xdr:grpSpPr>
      <xdr:sp macro="" textlink="">
        <xdr:nvSpPr>
          <xdr:cNvPr id="70" name="Freeform: Shape 69">
            <a:extLst>
              <a:ext uri="{FF2B5EF4-FFF2-40B4-BE49-F238E27FC236}">
                <a16:creationId xmlns:a16="http://schemas.microsoft.com/office/drawing/2014/main" id="{00000000-0008-0000-0000-000046000000}"/>
              </a:ext>
            </a:extLst>
          </xdr:cNvPr>
          <xdr:cNvSpPr/>
        </xdr:nvSpPr>
        <xdr:spPr>
          <a:xfrm>
            <a:off x="635074" y="2674673"/>
            <a:ext cx="2287725" cy="512523"/>
          </a:xfrm>
          <a:custGeom>
            <a:avLst/>
            <a:gdLst>
              <a:gd name="connsiteX0" fmla="*/ 0 w 2287725"/>
              <a:gd name="connsiteY0" fmla="*/ 0 h 910800"/>
              <a:gd name="connsiteX1" fmla="*/ 2287725 w 2287725"/>
              <a:gd name="connsiteY1" fmla="*/ 0 h 910800"/>
              <a:gd name="connsiteX2" fmla="*/ 2287725 w 2287725"/>
              <a:gd name="connsiteY2" fmla="*/ 910800 h 910800"/>
              <a:gd name="connsiteX3" fmla="*/ 0 w 2287725"/>
              <a:gd name="connsiteY3" fmla="*/ 910800 h 910800"/>
              <a:gd name="connsiteX4" fmla="*/ 0 w 2287725"/>
              <a:gd name="connsiteY4" fmla="*/ 0 h 9108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2287725" h="910800">
                <a:moveTo>
                  <a:pt x="0" y="0"/>
                </a:moveTo>
                <a:lnTo>
                  <a:pt x="2287725" y="0"/>
                </a:lnTo>
                <a:lnTo>
                  <a:pt x="2287725" y="910800"/>
                </a:lnTo>
                <a:lnTo>
                  <a:pt x="0" y="910800"/>
                </a:lnTo>
                <a:lnTo>
                  <a:pt x="0" y="0"/>
                </a:lnTo>
                <a:close/>
              </a:path>
            </a:pathLst>
          </a:custGeom>
          <a:solidFill>
            <a:srgbClr val="DDEBF7"/>
          </a:solidFill>
        </xdr:spPr>
        <xdr:style>
          <a:lnRef idx="0">
            <a:schemeClr val="dk1">
              <a:alpha val="0"/>
              <a:hueOff val="0"/>
              <a:satOff val="0"/>
              <a:lumOff val="0"/>
              <a:alphaOff val="0"/>
            </a:schemeClr>
          </a:lnRef>
          <a:fillRef idx="0">
            <a:schemeClr val="lt1">
              <a:alpha val="0"/>
              <a:hueOff val="0"/>
              <a:satOff val="0"/>
              <a:lumOff val="0"/>
              <a:alphaOff val="0"/>
            </a:schemeClr>
          </a:fillRef>
          <a:effectRef idx="0">
            <a:schemeClr val="lt1">
              <a:alpha val="0"/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  <xdr:txBody>
          <a:bodyPr spcFirstLastPara="0" vert="horz" wrap="square" lIns="142240" tIns="50800" rIns="142240" bIns="50800" numCol="1" spcCol="1270" anchor="ctr" anchorCtr="0">
            <a:noAutofit/>
          </a:bodyPr>
          <a:lstStyle/>
          <a:p>
            <a:pPr marL="0" lvl="0" indent="0" algn="l" defTabSz="8890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US" sz="1600" b="1" kern="1200">
                <a:solidFill>
                  <a:sysClr val="windowText" lastClr="000000"/>
                </a:solidFill>
                <a:latin typeface="+mn-lt"/>
                <a:cs typeface="Segoe UI" panose="020B0502040204020203" pitchFamily="34" charset="0"/>
              </a:rPr>
              <a:t>Base Bid</a:t>
            </a:r>
            <a:endParaRPr lang="ur-PK" sz="1600" b="1" kern="1200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endParaRPr>
          </a:p>
        </xdr:txBody>
      </xdr:sp>
      <xdr:sp macro="" textlink="'COST SUMMARY'!D10">
        <xdr:nvSpPr>
          <xdr:cNvPr id="72" name="Freeform: Shape 71">
            <a:extLst>
              <a:ext uri="{FF2B5EF4-FFF2-40B4-BE49-F238E27FC236}">
                <a16:creationId xmlns:a16="http://schemas.microsoft.com/office/drawing/2014/main" id="{00000000-0008-0000-0000-000048000000}"/>
              </a:ext>
            </a:extLst>
          </xdr:cNvPr>
          <xdr:cNvSpPr/>
        </xdr:nvSpPr>
        <xdr:spPr>
          <a:xfrm>
            <a:off x="3030933" y="2663813"/>
            <a:ext cx="2326986" cy="512953"/>
          </a:xfrm>
          <a:custGeom>
            <a:avLst/>
            <a:gdLst>
              <a:gd name="connsiteX0" fmla="*/ 0 w 2077736"/>
              <a:gd name="connsiteY0" fmla="*/ 0 h 512953"/>
              <a:gd name="connsiteX1" fmla="*/ 2077736 w 2077736"/>
              <a:gd name="connsiteY1" fmla="*/ 0 h 512953"/>
              <a:gd name="connsiteX2" fmla="*/ 2077736 w 2077736"/>
              <a:gd name="connsiteY2" fmla="*/ 512953 h 512953"/>
              <a:gd name="connsiteX3" fmla="*/ 0 w 2077736"/>
              <a:gd name="connsiteY3" fmla="*/ 512953 h 512953"/>
              <a:gd name="connsiteX4" fmla="*/ 0 w 2077736"/>
              <a:gd name="connsiteY4" fmla="*/ 0 h 512953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2077736" h="512953">
                <a:moveTo>
                  <a:pt x="0" y="0"/>
                </a:moveTo>
                <a:lnTo>
                  <a:pt x="2077736" y="0"/>
                </a:lnTo>
                <a:lnTo>
                  <a:pt x="2077736" y="512953"/>
                </a:lnTo>
                <a:lnTo>
                  <a:pt x="0" y="512953"/>
                </a:lnTo>
                <a:lnTo>
                  <a:pt x="0" y="0"/>
                </a:lnTo>
                <a:close/>
              </a:path>
            </a:pathLst>
          </a:custGeom>
          <a:noFill/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1">
              <a:hueOff val="0"/>
              <a:satOff val="0"/>
              <a:lumOff val="0"/>
              <a:alphaOff val="0"/>
            </a:schemeClr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175260" tIns="175260" rIns="175260" bIns="175260" numCol="1" spcCol="1270" anchor="ctr" anchorCtr="0">
            <a:noAutofit/>
          </a:bodyPr>
          <a:lstStyle/>
          <a:p>
            <a:pPr algn="r" rtl="0"/>
            <a:fld id="{51D7562B-E33C-471F-BEE2-C9B8241A4D20}" type="TxLink">
              <a:rPr lang="en-US" sz="1600" b="1" i="0" u="none" strike="noStrike">
                <a:solidFill>
                  <a:sysClr val="windowText" lastClr="000000"/>
                </a:solidFill>
                <a:effectLst/>
                <a:latin typeface="+mn-lt"/>
                <a:ea typeface="+mn-ea"/>
                <a:cs typeface="Segoe UI" panose="020B0502040204020203" pitchFamily="34" charset="0"/>
              </a:rPr>
              <a:pPr algn="r" rtl="0"/>
              <a:t> $1,657,813 </a:t>
            </a:fld>
            <a:endParaRPr lang="ur-PK" sz="1600" b="1">
              <a:solidFill>
                <a:sysClr val="windowText" lastClr="000000"/>
              </a:solidFill>
              <a:effectLst/>
              <a:latin typeface="+mn-lt"/>
              <a:cs typeface="Segoe UI" panose="020B0502040204020203" pitchFamily="34" charset="0"/>
            </a:endParaRPr>
          </a:p>
        </xdr:txBody>
      </xdr:sp>
      <xdr:sp macro="" textlink="">
        <xdr:nvSpPr>
          <xdr:cNvPr id="73" name="Freeform: Shape 72">
            <a:extLst>
              <a:ext uri="{FF2B5EF4-FFF2-40B4-BE49-F238E27FC236}">
                <a16:creationId xmlns:a16="http://schemas.microsoft.com/office/drawing/2014/main" id="{00000000-0008-0000-0000-000049000000}"/>
              </a:ext>
            </a:extLst>
          </xdr:cNvPr>
          <xdr:cNvSpPr/>
        </xdr:nvSpPr>
        <xdr:spPr>
          <a:xfrm>
            <a:off x="628858" y="3547248"/>
            <a:ext cx="2287725" cy="512523"/>
          </a:xfrm>
          <a:custGeom>
            <a:avLst/>
            <a:gdLst>
              <a:gd name="connsiteX0" fmla="*/ 0 w 2287725"/>
              <a:gd name="connsiteY0" fmla="*/ 0 h 910800"/>
              <a:gd name="connsiteX1" fmla="*/ 2287725 w 2287725"/>
              <a:gd name="connsiteY1" fmla="*/ 0 h 910800"/>
              <a:gd name="connsiteX2" fmla="*/ 2287725 w 2287725"/>
              <a:gd name="connsiteY2" fmla="*/ 910800 h 910800"/>
              <a:gd name="connsiteX3" fmla="*/ 0 w 2287725"/>
              <a:gd name="connsiteY3" fmla="*/ 910800 h 910800"/>
              <a:gd name="connsiteX4" fmla="*/ 0 w 2287725"/>
              <a:gd name="connsiteY4" fmla="*/ 0 h 9108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2287725" h="910800">
                <a:moveTo>
                  <a:pt x="0" y="0"/>
                </a:moveTo>
                <a:lnTo>
                  <a:pt x="2287725" y="0"/>
                </a:lnTo>
                <a:lnTo>
                  <a:pt x="2287725" y="910800"/>
                </a:lnTo>
                <a:lnTo>
                  <a:pt x="0" y="910800"/>
                </a:lnTo>
                <a:lnTo>
                  <a:pt x="0" y="0"/>
                </a:lnTo>
                <a:close/>
              </a:path>
            </a:pathLst>
          </a:custGeom>
          <a:solidFill>
            <a:srgbClr val="DDEBF7"/>
          </a:solidFill>
        </xdr:spPr>
        <xdr:style>
          <a:lnRef idx="0">
            <a:schemeClr val="dk1">
              <a:alpha val="0"/>
              <a:hueOff val="0"/>
              <a:satOff val="0"/>
              <a:lumOff val="0"/>
              <a:alphaOff val="0"/>
            </a:schemeClr>
          </a:lnRef>
          <a:fillRef idx="0">
            <a:schemeClr val="lt1">
              <a:alpha val="0"/>
              <a:hueOff val="0"/>
              <a:satOff val="0"/>
              <a:lumOff val="0"/>
              <a:alphaOff val="0"/>
            </a:schemeClr>
          </a:fillRef>
          <a:effectRef idx="0">
            <a:schemeClr val="lt1">
              <a:alpha val="0"/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  <xdr:txBody>
          <a:bodyPr spcFirstLastPara="0" vert="horz" wrap="square" lIns="142240" tIns="50800" rIns="142240" bIns="50800" numCol="1" spcCol="1270" anchor="ctr" anchorCtr="0">
            <a:noAutofit/>
          </a:bodyPr>
          <a:lstStyle/>
          <a:p>
            <a:pPr marL="0" lvl="0" indent="0" algn="l" defTabSz="8890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US" sz="1600" b="1" kern="1200">
                <a:solidFill>
                  <a:sysClr val="windowText" lastClr="000000"/>
                </a:solidFill>
                <a:latin typeface="+mn-lt"/>
                <a:cs typeface="Segoe UI" panose="020B0502040204020203" pitchFamily="34" charset="0"/>
              </a:rPr>
              <a:t>By Others</a:t>
            </a:r>
            <a:endParaRPr lang="ur-PK" sz="1600" b="1" kern="1200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endParaRPr>
          </a:p>
        </xdr:txBody>
      </xdr:sp>
      <xdr:sp macro="" textlink="">
        <xdr:nvSpPr>
          <xdr:cNvPr id="76" name="Freeform: Shape 75">
            <a:extLst>
              <a:ext uri="{FF2B5EF4-FFF2-40B4-BE49-F238E27FC236}">
                <a16:creationId xmlns:a16="http://schemas.microsoft.com/office/drawing/2014/main" id="{00000000-0008-0000-0000-00004C000000}"/>
              </a:ext>
            </a:extLst>
          </xdr:cNvPr>
          <xdr:cNvSpPr/>
        </xdr:nvSpPr>
        <xdr:spPr>
          <a:xfrm>
            <a:off x="628858" y="4419823"/>
            <a:ext cx="2287725" cy="512523"/>
          </a:xfrm>
          <a:custGeom>
            <a:avLst/>
            <a:gdLst>
              <a:gd name="connsiteX0" fmla="*/ 0 w 2287725"/>
              <a:gd name="connsiteY0" fmla="*/ 0 h 910800"/>
              <a:gd name="connsiteX1" fmla="*/ 2287725 w 2287725"/>
              <a:gd name="connsiteY1" fmla="*/ 0 h 910800"/>
              <a:gd name="connsiteX2" fmla="*/ 2287725 w 2287725"/>
              <a:gd name="connsiteY2" fmla="*/ 910800 h 910800"/>
              <a:gd name="connsiteX3" fmla="*/ 0 w 2287725"/>
              <a:gd name="connsiteY3" fmla="*/ 910800 h 910800"/>
              <a:gd name="connsiteX4" fmla="*/ 0 w 2287725"/>
              <a:gd name="connsiteY4" fmla="*/ 0 h 9108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2287725" h="910800">
                <a:moveTo>
                  <a:pt x="0" y="0"/>
                </a:moveTo>
                <a:lnTo>
                  <a:pt x="2287725" y="0"/>
                </a:lnTo>
                <a:lnTo>
                  <a:pt x="2287725" y="910800"/>
                </a:lnTo>
                <a:lnTo>
                  <a:pt x="0" y="910800"/>
                </a:lnTo>
                <a:lnTo>
                  <a:pt x="0" y="0"/>
                </a:lnTo>
                <a:close/>
              </a:path>
            </a:pathLst>
          </a:custGeom>
          <a:solidFill>
            <a:srgbClr val="DDEBF7"/>
          </a:solidFill>
        </xdr:spPr>
        <xdr:style>
          <a:lnRef idx="0">
            <a:schemeClr val="dk1">
              <a:alpha val="0"/>
              <a:hueOff val="0"/>
              <a:satOff val="0"/>
              <a:lumOff val="0"/>
              <a:alphaOff val="0"/>
            </a:schemeClr>
          </a:lnRef>
          <a:fillRef idx="0">
            <a:schemeClr val="lt1">
              <a:alpha val="0"/>
              <a:hueOff val="0"/>
              <a:satOff val="0"/>
              <a:lumOff val="0"/>
              <a:alphaOff val="0"/>
            </a:schemeClr>
          </a:fillRef>
          <a:effectRef idx="0">
            <a:schemeClr val="lt1">
              <a:alpha val="0"/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  <xdr:txBody>
          <a:bodyPr spcFirstLastPara="0" vert="horz" wrap="square" lIns="142240" tIns="50800" rIns="142240" bIns="50800" numCol="1" spcCol="1270" anchor="ctr" anchorCtr="0">
            <a:noAutofit/>
          </a:bodyPr>
          <a:lstStyle/>
          <a:p>
            <a:pPr marL="0" lvl="0" indent="0" algn="l" defTabSz="8890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US" sz="1600" b="1" kern="1200">
                <a:solidFill>
                  <a:sysClr val="windowText" lastClr="000000"/>
                </a:solidFill>
                <a:latin typeface="+mn-lt"/>
                <a:cs typeface="Segoe UI" panose="020B0502040204020203" pitchFamily="34" charset="0"/>
              </a:rPr>
              <a:t>Separate Permit</a:t>
            </a:r>
            <a:endParaRPr lang="ur-PK" sz="1600" b="1" kern="1200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endParaRPr>
          </a:p>
        </xdr:txBody>
      </xdr:sp>
    </xdr:grpSp>
    <xdr:clientData/>
  </xdr:twoCellAnchor>
  <xdr:twoCellAnchor>
    <xdr:from>
      <xdr:col>0</xdr:col>
      <xdr:colOff>268941</xdr:colOff>
      <xdr:row>38</xdr:row>
      <xdr:rowOff>78440</xdr:rowOff>
    </xdr:from>
    <xdr:to>
      <xdr:col>18</xdr:col>
      <xdr:colOff>403411</xdr:colOff>
      <xdr:row>75</xdr:row>
      <xdr:rowOff>112058</xdr:rowOff>
    </xdr:to>
    <xdr:graphicFrame macro="">
      <xdr:nvGraphicFramePr>
        <xdr:cNvPr id="48" name="Chart 47">
          <a:extLst>
            <a:ext uri="{FF2B5EF4-FFF2-40B4-BE49-F238E27FC236}">
              <a16:creationId xmlns:a16="http://schemas.microsoft.com/office/drawing/2014/main" id="{8581636A-E86D-4A7E-980C-F295924D02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0.08738</cdr:x>
      <cdr:y>0</cdr:y>
    </cdr:from>
    <cdr:to>
      <cdr:x>0.92114</cdr:x>
      <cdr:y>0.10022</cdr:y>
    </cdr:to>
    <cdr:sp macro="" textlink="">
      <cdr:nvSpPr>
        <cdr:cNvPr id="2" name="TextBox 16">
          <a:extLst xmlns:a="http://schemas.openxmlformats.org/drawingml/2006/main">
            <a:ext uri="{FF2B5EF4-FFF2-40B4-BE49-F238E27FC236}">
              <a16:creationId xmlns:a16="http://schemas.microsoft.com/office/drawing/2014/main" id="{00000000-0008-0000-0000-000011000000}"/>
            </a:ext>
          </a:extLst>
        </cdr:cNvPr>
        <cdr:cNvSpPr txBox="1"/>
      </cdr:nvSpPr>
      <cdr:spPr>
        <a:xfrm xmlns:a="http://schemas.openxmlformats.org/drawingml/2006/main">
          <a:off x="459304" y="0"/>
          <a:ext cx="4382450" cy="5157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800" b="1">
              <a:latin typeface="Segoe UI" panose="020B0502040204020203" pitchFamily="34" charset="0"/>
              <a:cs typeface="Segoe UI" panose="020B0502040204020203" pitchFamily="34" charset="0"/>
            </a:rPr>
            <a:t>Cost Break-up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Custom 4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E36C09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>
    <tabColor rgb="FF92D050"/>
    <pageSetUpPr fitToPage="1"/>
  </sheetPr>
  <dimension ref="A1:V353"/>
  <sheetViews>
    <sheetView tabSelected="1" zoomScale="40" zoomScaleNormal="40" zoomScaleSheetLayoutView="40" workbookViewId="0">
      <pane ySplit="1" topLeftCell="A2" activePane="bottomLeft" state="frozen"/>
      <selection pane="bottomLeft" activeCell="F26" sqref="F26"/>
    </sheetView>
  </sheetViews>
  <sheetFormatPr defaultColWidth="8.90625" defaultRowHeight="15.6" x14ac:dyDescent="0.25"/>
  <cols>
    <col min="1" max="1" width="12.36328125" style="4" customWidth="1"/>
    <col min="2" max="2" width="26.90625" style="4" customWidth="1"/>
    <col min="3" max="3" width="28.453125" style="4" customWidth="1"/>
    <col min="4" max="4" width="14.90625" style="4" bestFit="1" customWidth="1"/>
    <col min="5" max="5" width="37.1796875" style="4" customWidth="1"/>
    <col min="6" max="6" width="69" style="6" bestFit="1" customWidth="1"/>
    <col min="7" max="7" width="10.08984375" style="5" bestFit="1" customWidth="1"/>
    <col min="8" max="8" width="9.90625" style="5" bestFit="1" customWidth="1"/>
    <col min="9" max="9" width="13.1796875" style="5" bestFit="1" customWidth="1"/>
    <col min="10" max="10" width="13.453125" style="4" customWidth="1"/>
    <col min="11" max="11" width="19.453125" style="4" customWidth="1"/>
    <col min="12" max="12" width="11.81640625" style="4" bestFit="1" customWidth="1"/>
    <col min="13" max="13" width="20.36328125" style="6" bestFit="1" customWidth="1"/>
    <col min="14" max="14" width="18.08984375" style="6" bestFit="1" customWidth="1"/>
    <col min="15" max="15" width="20.81640625" style="6" bestFit="1" customWidth="1"/>
    <col min="16" max="17" width="15.81640625" style="6" bestFit="1" customWidth="1"/>
    <col min="18" max="18" width="15.81640625" style="1" bestFit="1" customWidth="1"/>
    <col min="19" max="20" width="21.81640625" style="1" bestFit="1" customWidth="1"/>
    <col min="21" max="21" width="11.90625" style="1" bestFit="1" customWidth="1"/>
    <col min="22" max="22" width="6.54296875" style="1" customWidth="1"/>
    <col min="23" max="23" width="8.90625" style="1" customWidth="1"/>
    <col min="24" max="16384" width="8.90625" style="1"/>
  </cols>
  <sheetData>
    <row r="1" spans="1:22" s="3" customFormat="1" ht="46.8" x14ac:dyDescent="0.25">
      <c r="A1" s="52" t="s">
        <v>178</v>
      </c>
      <c r="B1" s="52" t="s">
        <v>179</v>
      </c>
      <c r="C1" s="52" t="s">
        <v>180</v>
      </c>
      <c r="D1" s="52" t="s">
        <v>181</v>
      </c>
      <c r="E1" s="52" t="s">
        <v>82</v>
      </c>
      <c r="F1" s="52" t="s">
        <v>182</v>
      </c>
      <c r="G1" s="57" t="s">
        <v>183</v>
      </c>
      <c r="H1" s="57" t="s">
        <v>184</v>
      </c>
      <c r="I1" s="57" t="s">
        <v>185</v>
      </c>
      <c r="J1" s="52" t="s">
        <v>186</v>
      </c>
      <c r="K1" s="57" t="s">
        <v>187</v>
      </c>
      <c r="L1" s="57" t="s">
        <v>188</v>
      </c>
      <c r="M1" s="57" t="s">
        <v>189</v>
      </c>
      <c r="N1" s="57" t="s">
        <v>190</v>
      </c>
      <c r="O1" s="58" t="s">
        <v>191</v>
      </c>
      <c r="P1" s="58" t="s">
        <v>192</v>
      </c>
      <c r="Q1" s="52" t="s">
        <v>193</v>
      </c>
      <c r="R1" s="52" t="s">
        <v>194</v>
      </c>
      <c r="S1" s="161" t="s">
        <v>195</v>
      </c>
      <c r="T1" s="162" t="s">
        <v>196</v>
      </c>
      <c r="U1" s="2"/>
      <c r="V1" s="2"/>
    </row>
    <row r="2" spans="1:22" s="39" customFormat="1" ht="21" x14ac:dyDescent="0.2">
      <c r="A2" s="305" t="s">
        <v>197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6"/>
      <c r="P2" s="306"/>
      <c r="Q2" s="306"/>
      <c r="R2" s="307"/>
      <c r="S2" s="163"/>
      <c r="T2" s="164"/>
    </row>
    <row r="3" spans="1:22" ht="21" x14ac:dyDescent="0.4">
      <c r="A3" s="94"/>
      <c r="B3" s="308" t="s">
        <v>198</v>
      </c>
      <c r="C3" s="308"/>
      <c r="D3" s="308"/>
      <c r="E3" s="308"/>
      <c r="F3" s="376"/>
      <c r="G3" s="377"/>
      <c r="H3" s="377"/>
      <c r="I3" s="377"/>
      <c r="J3" s="377"/>
      <c r="K3" s="377"/>
      <c r="L3" s="377"/>
      <c r="M3" s="377"/>
      <c r="N3" s="378"/>
      <c r="O3" s="378"/>
      <c r="P3" s="378"/>
      <c r="Q3" s="378"/>
      <c r="R3" s="85"/>
      <c r="S3" s="163"/>
      <c r="T3" s="164"/>
    </row>
    <row r="4" spans="1:22" ht="23.4" x14ac:dyDescent="0.4">
      <c r="A4" s="94"/>
      <c r="B4" s="33"/>
      <c r="C4" s="187"/>
      <c r="D4" s="188" t="s">
        <v>199</v>
      </c>
      <c r="E4" s="189">
        <f>Q348</f>
        <v>1315257.8069658852</v>
      </c>
      <c r="F4" s="190"/>
      <c r="G4" s="379"/>
      <c r="H4" s="33"/>
      <c r="I4" s="204"/>
      <c r="J4" s="205" t="s">
        <v>15</v>
      </c>
      <c r="K4" s="206">
        <v>46071</v>
      </c>
      <c r="L4" s="207"/>
      <c r="M4" s="208"/>
      <c r="N4" s="208"/>
      <c r="O4" s="208"/>
      <c r="P4" s="208"/>
      <c r="Q4" s="209"/>
      <c r="R4" s="127"/>
      <c r="S4" s="163"/>
      <c r="T4" s="164"/>
    </row>
    <row r="5" spans="1:22" ht="21" x14ac:dyDescent="0.4">
      <c r="A5" s="94"/>
      <c r="B5" s="191"/>
      <c r="C5" s="380" t="s">
        <v>200</v>
      </c>
      <c r="D5" s="28">
        <v>7.9699999999999993E-2</v>
      </c>
      <c r="E5" s="22">
        <f>P348*D5</f>
        <v>55004.203067162009</v>
      </c>
      <c r="F5" s="192" t="s">
        <v>201</v>
      </c>
      <c r="G5" s="379"/>
      <c r="H5" s="191"/>
      <c r="I5" s="381"/>
      <c r="J5" s="382" t="s">
        <v>17</v>
      </c>
      <c r="K5" s="383" t="s">
        <v>805</v>
      </c>
      <c r="L5" s="384"/>
      <c r="M5" s="385"/>
      <c r="N5" s="385"/>
      <c r="O5" s="385"/>
      <c r="P5" s="385"/>
      <c r="Q5" s="210"/>
      <c r="R5" s="127"/>
      <c r="S5" s="163"/>
      <c r="T5" s="164"/>
    </row>
    <row r="6" spans="1:22" ht="21" x14ac:dyDescent="0.4">
      <c r="A6" s="94"/>
      <c r="B6" s="191"/>
      <c r="C6" s="380" t="s">
        <v>202</v>
      </c>
      <c r="D6" s="29">
        <v>0.2</v>
      </c>
      <c r="E6" s="22">
        <f>P348*D6</f>
        <v>138028.11309200004</v>
      </c>
      <c r="F6" s="192" t="s">
        <v>203</v>
      </c>
      <c r="G6" s="379"/>
      <c r="H6" s="191"/>
      <c r="I6" s="381"/>
      <c r="J6" s="382" t="s">
        <v>19</v>
      </c>
      <c r="K6" s="386" t="s">
        <v>965</v>
      </c>
      <c r="L6" s="384"/>
      <c r="M6" s="385"/>
      <c r="N6" s="385"/>
      <c r="O6" s="385"/>
      <c r="P6" s="385"/>
      <c r="Q6" s="210"/>
      <c r="R6" s="127"/>
      <c r="S6" s="163"/>
      <c r="T6" s="164"/>
    </row>
    <row r="7" spans="1:22" ht="21" x14ac:dyDescent="0.4">
      <c r="A7" s="94"/>
      <c r="B7" s="191"/>
      <c r="C7" s="380" t="s">
        <v>204</v>
      </c>
      <c r="D7" s="30">
        <v>0.2</v>
      </c>
      <c r="E7" s="23">
        <f>N348*D7</f>
        <v>125023.44830117701</v>
      </c>
      <c r="F7" s="192" t="s">
        <v>203</v>
      </c>
      <c r="G7" s="379"/>
      <c r="H7" s="191"/>
      <c r="I7" s="381"/>
      <c r="J7" s="382" t="s">
        <v>205</v>
      </c>
      <c r="K7" s="387" t="s">
        <v>206</v>
      </c>
      <c r="L7" s="384"/>
      <c r="M7" s="385"/>
      <c r="N7" s="385"/>
      <c r="O7" s="385"/>
      <c r="P7" s="385"/>
      <c r="Q7" s="210"/>
      <c r="R7" s="127"/>
      <c r="S7" s="163"/>
      <c r="T7" s="164"/>
    </row>
    <row r="8" spans="1:22" ht="21.6" thickBot="1" x14ac:dyDescent="0.45">
      <c r="A8" s="94"/>
      <c r="B8" s="191"/>
      <c r="C8" s="31" t="s">
        <v>12</v>
      </c>
      <c r="D8" s="32">
        <v>1.4999999999999999E-2</v>
      </c>
      <c r="E8" s="24">
        <f>(E4+E5+E6+E7)*D8</f>
        <v>24499.703571393366</v>
      </c>
      <c r="F8" s="192" t="s">
        <v>207</v>
      </c>
      <c r="G8" s="379"/>
      <c r="H8" s="191"/>
      <c r="I8" s="381"/>
      <c r="J8" s="382"/>
      <c r="K8" s="387"/>
      <c r="L8" s="384"/>
      <c r="M8" s="385"/>
      <c r="N8" s="385"/>
      <c r="O8" s="385"/>
      <c r="P8" s="385"/>
      <c r="Q8" s="210"/>
      <c r="R8" s="127"/>
      <c r="S8" s="163"/>
      <c r="T8" s="164"/>
    </row>
    <row r="9" spans="1:22" ht="26.4" thickTop="1" x14ac:dyDescent="0.35">
      <c r="A9" s="94"/>
      <c r="B9" s="36"/>
      <c r="C9" s="193"/>
      <c r="D9" s="194" t="s">
        <v>208</v>
      </c>
      <c r="E9" s="195">
        <f>E4+E5+E6+E7+E8</f>
        <v>1657813.2749976178</v>
      </c>
      <c r="F9" s="101"/>
      <c r="G9" s="379"/>
      <c r="H9" s="191"/>
      <c r="I9" s="381"/>
      <c r="J9" s="388" t="s">
        <v>209</v>
      </c>
      <c r="K9" s="25"/>
      <c r="L9" s="384"/>
      <c r="M9" s="385"/>
      <c r="N9" s="385"/>
      <c r="O9" s="385"/>
      <c r="P9" s="385"/>
      <c r="Q9" s="210"/>
      <c r="R9" s="127"/>
      <c r="S9" s="163"/>
      <c r="T9" s="164"/>
    </row>
    <row r="10" spans="1:22" ht="18" x14ac:dyDescent="0.35">
      <c r="A10" s="94"/>
      <c r="B10" s="377"/>
      <c r="C10" s="377"/>
      <c r="D10" s="377"/>
      <c r="E10" s="377"/>
      <c r="F10" s="377"/>
      <c r="G10" s="379"/>
      <c r="H10" s="191"/>
      <c r="I10" s="381"/>
      <c r="J10" s="388" t="s">
        <v>210</v>
      </c>
      <c r="K10" s="26"/>
      <c r="L10" s="384"/>
      <c r="M10" s="385"/>
      <c r="N10" s="385"/>
      <c r="O10" s="385"/>
      <c r="P10" s="385"/>
      <c r="Q10" s="210"/>
      <c r="R10" s="127"/>
      <c r="S10" s="163"/>
      <c r="T10" s="164"/>
    </row>
    <row r="11" spans="1:22" ht="18" x14ac:dyDescent="0.35">
      <c r="A11" s="94"/>
      <c r="B11" s="33"/>
      <c r="C11" s="34" t="s">
        <v>211</v>
      </c>
      <c r="D11" s="35">
        <v>0</v>
      </c>
      <c r="E11" s="196" t="s">
        <v>212</v>
      </c>
      <c r="F11" s="190"/>
      <c r="G11" s="379"/>
      <c r="H11" s="191"/>
      <c r="I11" s="381"/>
      <c r="J11" s="389" t="s">
        <v>213</v>
      </c>
      <c r="K11" s="26"/>
      <c r="L11" s="384"/>
      <c r="M11" s="385"/>
      <c r="N11" s="385"/>
      <c r="O11" s="385"/>
      <c r="P11" s="385"/>
      <c r="Q11" s="210"/>
      <c r="R11" s="127"/>
      <c r="S11" s="163"/>
      <c r="T11" s="164"/>
    </row>
    <row r="12" spans="1:22" ht="18" x14ac:dyDescent="0.35">
      <c r="A12" s="94"/>
      <c r="B12" s="36"/>
      <c r="C12" s="37" t="s">
        <v>214</v>
      </c>
      <c r="D12" s="38">
        <v>0.05</v>
      </c>
      <c r="E12" s="390" t="s">
        <v>215</v>
      </c>
      <c r="F12" s="85"/>
      <c r="G12" s="379"/>
      <c r="H12" s="191"/>
      <c r="I12" s="381"/>
      <c r="J12" s="389" t="s">
        <v>216</v>
      </c>
      <c r="K12" s="27"/>
      <c r="L12" s="384"/>
      <c r="M12" s="385"/>
      <c r="N12" s="385"/>
      <c r="O12" s="385"/>
      <c r="P12" s="385"/>
      <c r="Q12" s="210"/>
      <c r="R12" s="127"/>
      <c r="S12" s="163"/>
      <c r="T12" s="164"/>
    </row>
    <row r="13" spans="1:22" ht="18" x14ac:dyDescent="0.35">
      <c r="A13" s="94"/>
      <c r="B13" s="197" t="s">
        <v>217</v>
      </c>
      <c r="C13" s="198"/>
      <c r="D13" s="198"/>
      <c r="E13" s="199"/>
      <c r="F13" s="101"/>
      <c r="G13" s="379"/>
      <c r="H13" s="191"/>
      <c r="I13" s="381"/>
      <c r="J13" s="388" t="s">
        <v>218</v>
      </c>
      <c r="K13" s="26">
        <v>0</v>
      </c>
      <c r="L13" s="384"/>
      <c r="M13" s="385"/>
      <c r="N13" s="385"/>
      <c r="O13" s="385"/>
      <c r="P13" s="385"/>
      <c r="Q13" s="210"/>
      <c r="R13" s="127"/>
      <c r="S13" s="163"/>
      <c r="T13" s="164"/>
    </row>
    <row r="14" spans="1:22" ht="21" x14ac:dyDescent="0.35">
      <c r="A14" s="94"/>
      <c r="B14" s="391"/>
      <c r="C14" s="391"/>
      <c r="D14" s="392"/>
      <c r="E14" s="392"/>
      <c r="F14" s="376"/>
      <c r="G14" s="379"/>
      <c r="H14" s="191"/>
      <c r="I14" s="381"/>
      <c r="J14" s="388" t="s">
        <v>219</v>
      </c>
      <c r="K14" s="26">
        <v>0</v>
      </c>
      <c r="L14" s="384"/>
      <c r="M14" s="385"/>
      <c r="N14" s="385"/>
      <c r="O14" s="385"/>
      <c r="P14" s="385"/>
      <c r="Q14" s="210"/>
      <c r="R14" s="127"/>
      <c r="S14" s="163"/>
      <c r="T14" s="164"/>
    </row>
    <row r="15" spans="1:22" ht="21" x14ac:dyDescent="0.4">
      <c r="A15" s="94"/>
      <c r="B15" s="200" t="s">
        <v>220</v>
      </c>
      <c r="C15" s="201"/>
      <c r="D15" s="202"/>
      <c r="E15" s="202"/>
      <c r="F15" s="203"/>
      <c r="G15" s="379"/>
      <c r="H15" s="36"/>
      <c r="I15" s="211"/>
      <c r="J15" s="212"/>
      <c r="K15" s="27"/>
      <c r="L15" s="213"/>
      <c r="M15" s="214"/>
      <c r="N15" s="214"/>
      <c r="O15" s="214"/>
      <c r="P15" s="214"/>
      <c r="Q15" s="215"/>
      <c r="R15" s="127"/>
      <c r="S15" s="165"/>
      <c r="T15" s="166"/>
      <c r="U15" s="12"/>
    </row>
    <row r="16" spans="1:22" ht="21" x14ac:dyDescent="0.25">
      <c r="A16" s="94"/>
      <c r="B16" s="392"/>
      <c r="C16" s="392"/>
      <c r="D16" s="392"/>
      <c r="E16" s="393"/>
      <c r="F16" s="393"/>
      <c r="G16" s="377"/>
      <c r="H16" s="377"/>
      <c r="I16" s="377"/>
      <c r="J16" s="377"/>
      <c r="K16" s="377"/>
      <c r="L16" s="377"/>
      <c r="M16" s="377"/>
      <c r="N16" s="377"/>
      <c r="O16" s="377"/>
      <c r="P16" s="377"/>
      <c r="Q16" s="377"/>
      <c r="R16" s="129"/>
      <c r="S16" s="165"/>
      <c r="T16" s="167"/>
      <c r="U16" s="12"/>
    </row>
    <row r="17" spans="1:22" s="3" customFormat="1" ht="46.8" x14ac:dyDescent="0.25">
      <c r="A17" s="52" t="s">
        <v>178</v>
      </c>
      <c r="B17" s="52" t="s">
        <v>179</v>
      </c>
      <c r="C17" s="52" t="s">
        <v>180</v>
      </c>
      <c r="D17" s="52" t="s">
        <v>181</v>
      </c>
      <c r="E17" s="52" t="s">
        <v>82</v>
      </c>
      <c r="F17" s="174" t="s">
        <v>182</v>
      </c>
      <c r="G17" s="57" t="s">
        <v>183</v>
      </c>
      <c r="H17" s="57" t="s">
        <v>184</v>
      </c>
      <c r="I17" s="57" t="s">
        <v>185</v>
      </c>
      <c r="J17" s="104" t="s">
        <v>186</v>
      </c>
      <c r="K17" s="57" t="s">
        <v>187</v>
      </c>
      <c r="L17" s="57" t="s">
        <v>188</v>
      </c>
      <c r="M17" s="57" t="s">
        <v>189</v>
      </c>
      <c r="N17" s="57" t="s">
        <v>190</v>
      </c>
      <c r="O17" s="58" t="s">
        <v>191</v>
      </c>
      <c r="P17" s="58" t="s">
        <v>192</v>
      </c>
      <c r="Q17" s="52" t="s">
        <v>193</v>
      </c>
      <c r="R17" s="52" t="s">
        <v>194</v>
      </c>
      <c r="S17" s="161" t="s">
        <v>221</v>
      </c>
      <c r="T17" s="162" t="s">
        <v>222</v>
      </c>
      <c r="U17" s="2"/>
      <c r="V17" s="2"/>
    </row>
    <row r="18" spans="1:22" s="7" customFormat="1" x14ac:dyDescent="0.25">
      <c r="A18" s="216"/>
      <c r="B18" s="216"/>
      <c r="C18" s="216"/>
      <c r="D18" s="216" t="s">
        <v>44</v>
      </c>
      <c r="E18" s="217"/>
      <c r="F18" s="218" t="s">
        <v>223</v>
      </c>
      <c r="G18" s="219"/>
      <c r="H18" s="218"/>
      <c r="I18" s="220"/>
      <c r="J18" s="220"/>
      <c r="K18" s="218"/>
      <c r="L18" s="218"/>
      <c r="M18" s="218"/>
      <c r="N18" s="218"/>
      <c r="O18" s="218"/>
      <c r="P18" s="218"/>
      <c r="Q18" s="218"/>
      <c r="R18" s="221">
        <f>SUM(Q20:Q68)</f>
        <v>108211.40353638527</v>
      </c>
      <c r="S18" s="168">
        <f>U18</f>
        <v>1207046.4034294998</v>
      </c>
      <c r="T18" s="169"/>
      <c r="U18" s="13">
        <f>SUM(Q72:Q347)</f>
        <v>1207046.4034294998</v>
      </c>
    </row>
    <row r="19" spans="1:22" s="7" customFormat="1" x14ac:dyDescent="0.25">
      <c r="A19" s="130"/>
      <c r="B19" s="53"/>
      <c r="C19" s="53"/>
      <c r="D19" s="106"/>
      <c r="E19" s="183"/>
      <c r="F19" s="175" t="s">
        <v>248</v>
      </c>
      <c r="G19" s="54"/>
      <c r="H19" s="55"/>
      <c r="I19" s="56"/>
      <c r="J19" s="105"/>
      <c r="K19" s="59"/>
      <c r="L19" s="63"/>
      <c r="M19" s="61"/>
      <c r="N19" s="62"/>
      <c r="O19" s="64"/>
      <c r="P19" s="64"/>
      <c r="Q19" s="65"/>
      <c r="R19" s="173"/>
      <c r="S19" s="163"/>
      <c r="T19" s="164"/>
    </row>
    <row r="20" spans="1:22" s="7" customFormat="1" x14ac:dyDescent="0.25">
      <c r="A20" s="130"/>
      <c r="B20" s="53"/>
      <c r="C20" s="53"/>
      <c r="D20" s="106"/>
      <c r="E20" s="183"/>
      <c r="F20" s="176" t="s">
        <v>779</v>
      </c>
      <c r="G20" s="54"/>
      <c r="H20" s="55"/>
      <c r="I20" s="56"/>
      <c r="J20" s="105"/>
      <c r="K20" s="59"/>
      <c r="L20" s="63"/>
      <c r="M20" s="61"/>
      <c r="N20" s="62"/>
      <c r="O20" s="64"/>
      <c r="P20" s="64"/>
      <c r="Q20" s="65"/>
      <c r="R20" s="173"/>
      <c r="S20" s="163"/>
      <c r="T20" s="164"/>
    </row>
    <row r="21" spans="1:22" s="7" customFormat="1" x14ac:dyDescent="0.25">
      <c r="A21" s="131">
        <f>IF(J21&lt;&gt;"",1+MAX($A$19:A20),"")</f>
        <v>1</v>
      </c>
      <c r="B21" s="53"/>
      <c r="C21" s="53"/>
      <c r="D21" s="106" t="s">
        <v>44</v>
      </c>
      <c r="E21" s="183" t="s">
        <v>45</v>
      </c>
      <c r="F21" s="177" t="s">
        <v>780</v>
      </c>
      <c r="G21" s="54">
        <v>1</v>
      </c>
      <c r="H21" s="55">
        <f>IF(VLOOKUP(J21,'HOURLY RATES'!B$116:C$124,2,0)=0,$J$3,VLOOKUP(J21,'HOURLY RATES'!B$116:C$124,2,0))</f>
        <v>0</v>
      </c>
      <c r="I21" s="56">
        <f>(G21*(1+H21))</f>
        <v>1</v>
      </c>
      <c r="J21" s="105" t="s">
        <v>224</v>
      </c>
      <c r="K21" s="59"/>
      <c r="L21" s="63">
        <f>K21*I21</f>
        <v>0</v>
      </c>
      <c r="M21" s="61">
        <f>IF(VLOOKUP(E21,'HOURLY RATES'!C$6:D$105,2,0)=0,$E$3,VLOOKUP(E21,'HOURLY RATES'!C$6:D$105,2,0))</f>
        <v>60</v>
      </c>
      <c r="N21" s="61">
        <f>M21*L21</f>
        <v>0</v>
      </c>
      <c r="O21" s="64"/>
      <c r="P21" s="64">
        <f t="shared" ref="P21:P31" si="0">O21*I21</f>
        <v>0</v>
      </c>
      <c r="Q21" s="65">
        <f>P21+N21</f>
        <v>0</v>
      </c>
      <c r="R21" s="173"/>
      <c r="S21" s="170">
        <f>((((N21*(1+$D$7))+(P21*(1+$D$5+$D$6)))*(1+$D$8)))/I21</f>
        <v>0</v>
      </c>
      <c r="T21" s="169">
        <f>S21*I21</f>
        <v>0</v>
      </c>
    </row>
    <row r="22" spans="1:22" s="7" customFormat="1" x14ac:dyDescent="0.25">
      <c r="A22" s="131">
        <f>IF(J22&lt;&gt;"",1+MAX($A$19:A21),"")</f>
        <v>2</v>
      </c>
      <c r="B22" s="53"/>
      <c r="C22" s="53"/>
      <c r="D22" s="106" t="s">
        <v>44</v>
      </c>
      <c r="E22" s="183" t="s">
        <v>45</v>
      </c>
      <c r="F22" s="177" t="s">
        <v>781</v>
      </c>
      <c r="G22" s="54">
        <v>1</v>
      </c>
      <c r="H22" s="55">
        <f>IF(VLOOKUP(J22,'HOURLY RATES'!B$116:C$124,2,0)=0,$J$3,VLOOKUP(J22,'HOURLY RATES'!B$116:C$124,2,0))</f>
        <v>0</v>
      </c>
      <c r="I22" s="56">
        <f t="shared" ref="I22:I31" si="1">(G22*(1+H22))</f>
        <v>1</v>
      </c>
      <c r="J22" s="105" t="s">
        <v>224</v>
      </c>
      <c r="K22" s="59"/>
      <c r="L22" s="63">
        <f t="shared" ref="L22:L31" si="2">K22*I22</f>
        <v>0</v>
      </c>
      <c r="M22" s="61">
        <f>IF(VLOOKUP(E22,'HOURLY RATES'!C$6:D$105,2,0)=0,$E$3,VLOOKUP(E22,'HOURLY RATES'!C$6:D$105,2,0))</f>
        <v>60</v>
      </c>
      <c r="N22" s="61">
        <f t="shared" ref="N22:N31" si="3">M22*L22</f>
        <v>0</v>
      </c>
      <c r="O22" s="64"/>
      <c r="P22" s="64">
        <f t="shared" si="0"/>
        <v>0</v>
      </c>
      <c r="Q22" s="65">
        <f t="shared" ref="Q22:Q65" si="4">P22+N22</f>
        <v>0</v>
      </c>
      <c r="R22" s="173"/>
      <c r="S22" s="170">
        <f t="shared" ref="S22:S31" si="5">((((N22*(1+$D$7))+(P22*(1+$D$5+$D$6)))*(1+$D$8)))/I22</f>
        <v>0</v>
      </c>
      <c r="T22" s="169">
        <f t="shared" ref="T22:T31" si="6">S22*I22</f>
        <v>0</v>
      </c>
    </row>
    <row r="23" spans="1:22" s="7" customFormat="1" x14ac:dyDescent="0.25">
      <c r="A23" s="131">
        <f>IF(J23&lt;&gt;"",1+MAX($A$19:A22),"")</f>
        <v>3</v>
      </c>
      <c r="B23" s="53"/>
      <c r="C23" s="53"/>
      <c r="D23" s="106" t="s">
        <v>44</v>
      </c>
      <c r="E23" s="183" t="s">
        <v>45</v>
      </c>
      <c r="F23" s="177" t="s">
        <v>225</v>
      </c>
      <c r="G23" s="54">
        <v>1</v>
      </c>
      <c r="H23" s="55">
        <f>IF(VLOOKUP(J23,'HOURLY RATES'!B$116:C$124,2,0)=0,$J$3,VLOOKUP(J23,'HOURLY RATES'!B$116:C$124,2,0))</f>
        <v>0</v>
      </c>
      <c r="I23" s="56">
        <f t="shared" si="1"/>
        <v>1</v>
      </c>
      <c r="J23" s="105" t="s">
        <v>224</v>
      </c>
      <c r="K23" s="59"/>
      <c r="L23" s="63">
        <f t="shared" si="2"/>
        <v>0</v>
      </c>
      <c r="M23" s="61">
        <f>IF(VLOOKUP(E23,'HOURLY RATES'!C$6:D$105,2,0)=0,$E$3,VLOOKUP(E23,'HOURLY RATES'!C$6:D$105,2,0))</f>
        <v>60</v>
      </c>
      <c r="N23" s="61">
        <f t="shared" si="3"/>
        <v>0</v>
      </c>
      <c r="O23" s="64"/>
      <c r="P23" s="64">
        <f t="shared" si="0"/>
        <v>0</v>
      </c>
      <c r="Q23" s="65">
        <f t="shared" si="4"/>
        <v>0</v>
      </c>
      <c r="R23" s="173"/>
      <c r="S23" s="170">
        <f t="shared" si="5"/>
        <v>0</v>
      </c>
      <c r="T23" s="169">
        <f t="shared" si="6"/>
        <v>0</v>
      </c>
    </row>
    <row r="24" spans="1:22" s="7" customFormat="1" x14ac:dyDescent="0.25">
      <c r="A24" s="131">
        <f>IF(J24&lt;&gt;"",1+MAX($A$19:A23),"")</f>
        <v>4</v>
      </c>
      <c r="B24" s="53"/>
      <c r="C24" s="53"/>
      <c r="D24" s="106" t="s">
        <v>44</v>
      </c>
      <c r="E24" s="183" t="s">
        <v>45</v>
      </c>
      <c r="F24" s="177" t="s">
        <v>782</v>
      </c>
      <c r="G24" s="54">
        <v>1</v>
      </c>
      <c r="H24" s="55">
        <f>IF(VLOOKUP(J24,'HOURLY RATES'!B$116:C$124,2,0)=0,$J$3,VLOOKUP(J24,'HOURLY RATES'!B$116:C$124,2,0))</f>
        <v>0</v>
      </c>
      <c r="I24" s="56">
        <f t="shared" si="1"/>
        <v>1</v>
      </c>
      <c r="J24" s="105" t="s">
        <v>224</v>
      </c>
      <c r="K24" s="59"/>
      <c r="L24" s="63">
        <f t="shared" si="2"/>
        <v>0</v>
      </c>
      <c r="M24" s="61">
        <f>IF(VLOOKUP(E24,'HOURLY RATES'!C$6:D$105,2,0)=0,$E$3,VLOOKUP(E24,'HOURLY RATES'!C$6:D$105,2,0))</f>
        <v>60</v>
      </c>
      <c r="N24" s="61">
        <f t="shared" si="3"/>
        <v>0</v>
      </c>
      <c r="O24" s="64"/>
      <c r="P24" s="64">
        <f t="shared" si="0"/>
        <v>0</v>
      </c>
      <c r="Q24" s="65">
        <f t="shared" si="4"/>
        <v>0</v>
      </c>
      <c r="R24" s="173"/>
      <c r="S24" s="170">
        <f t="shared" si="5"/>
        <v>0</v>
      </c>
      <c r="T24" s="169">
        <f t="shared" si="6"/>
        <v>0</v>
      </c>
    </row>
    <row r="25" spans="1:22" s="7" customFormat="1" x14ac:dyDescent="0.25">
      <c r="A25" s="131">
        <f>IF(J25&lt;&gt;"",1+MAX($A$19:A24),"")</f>
        <v>5</v>
      </c>
      <c r="B25" s="53"/>
      <c r="C25" s="53"/>
      <c r="D25" s="106" t="s">
        <v>44</v>
      </c>
      <c r="E25" s="183" t="s">
        <v>45</v>
      </c>
      <c r="F25" s="177" t="s">
        <v>783</v>
      </c>
      <c r="G25" s="54">
        <v>1</v>
      </c>
      <c r="H25" s="55">
        <f>IF(VLOOKUP(J25,'HOURLY RATES'!B$116:C$124,2,0)=0,$J$3,VLOOKUP(J25,'HOURLY RATES'!B$116:C$124,2,0))</f>
        <v>0</v>
      </c>
      <c r="I25" s="56">
        <f t="shared" si="1"/>
        <v>1</v>
      </c>
      <c r="J25" s="105" t="s">
        <v>224</v>
      </c>
      <c r="K25" s="59"/>
      <c r="L25" s="63">
        <f t="shared" si="2"/>
        <v>0</v>
      </c>
      <c r="M25" s="61">
        <f>IF(VLOOKUP(E25,'HOURLY RATES'!C$6:D$105,2,0)=0,$E$3,VLOOKUP(E25,'HOURLY RATES'!C$6:D$105,2,0))</f>
        <v>60</v>
      </c>
      <c r="N25" s="61">
        <f t="shared" si="3"/>
        <v>0</v>
      </c>
      <c r="O25" s="64"/>
      <c r="P25" s="64">
        <f t="shared" si="0"/>
        <v>0</v>
      </c>
      <c r="Q25" s="65">
        <f t="shared" si="4"/>
        <v>0</v>
      </c>
      <c r="R25" s="173"/>
      <c r="S25" s="170">
        <f t="shared" si="5"/>
        <v>0</v>
      </c>
      <c r="T25" s="169">
        <f t="shared" si="6"/>
        <v>0</v>
      </c>
    </row>
    <row r="26" spans="1:22" s="7" customFormat="1" x14ac:dyDescent="0.25">
      <c r="A26" s="131">
        <f>IF(J26&lt;&gt;"",1+MAX($A$19:A25),"")</f>
        <v>6</v>
      </c>
      <c r="B26" s="53"/>
      <c r="C26" s="53"/>
      <c r="D26" s="106" t="s">
        <v>44</v>
      </c>
      <c r="E26" s="183" t="s">
        <v>45</v>
      </c>
      <c r="F26" s="177" t="s">
        <v>226</v>
      </c>
      <c r="G26" s="54">
        <v>1</v>
      </c>
      <c r="H26" s="55">
        <f>IF(VLOOKUP(J26,'HOURLY RATES'!B$116:C$124,2,0)=0,$J$3,VLOOKUP(J26,'HOURLY RATES'!B$116:C$124,2,0))</f>
        <v>0</v>
      </c>
      <c r="I26" s="56">
        <f t="shared" si="1"/>
        <v>1</v>
      </c>
      <c r="J26" s="105" t="s">
        <v>224</v>
      </c>
      <c r="K26" s="394"/>
      <c r="L26" s="63">
        <f t="shared" si="2"/>
        <v>0</v>
      </c>
      <c r="M26" s="61">
        <f>IF(VLOOKUP(E26,'HOURLY RATES'!C$6:D$105,2,0)=0,$E$3,VLOOKUP(E26,'HOURLY RATES'!C$6:D$105,2,0))</f>
        <v>60</v>
      </c>
      <c r="N26" s="61">
        <f t="shared" si="3"/>
        <v>0</v>
      </c>
      <c r="O26" s="64"/>
      <c r="P26" s="64">
        <f t="shared" si="0"/>
        <v>0</v>
      </c>
      <c r="Q26" s="65">
        <f t="shared" si="4"/>
        <v>0</v>
      </c>
      <c r="R26" s="173"/>
      <c r="S26" s="170">
        <f t="shared" si="5"/>
        <v>0</v>
      </c>
      <c r="T26" s="169">
        <f t="shared" si="6"/>
        <v>0</v>
      </c>
    </row>
    <row r="27" spans="1:22" s="7" customFormat="1" x14ac:dyDescent="0.25">
      <c r="A27" s="131">
        <f>IF(J27&lt;&gt;"",1+MAX($A$19:A26),"")</f>
        <v>7</v>
      </c>
      <c r="B27" s="53"/>
      <c r="C27" s="53"/>
      <c r="D27" s="106" t="s">
        <v>44</v>
      </c>
      <c r="E27" s="183" t="s">
        <v>45</v>
      </c>
      <c r="F27" s="177" t="s">
        <v>227</v>
      </c>
      <c r="G27" s="54">
        <v>1</v>
      </c>
      <c r="H27" s="55">
        <f>IF(VLOOKUP(J27,'HOURLY RATES'!B$116:C$124,2,0)=0,$J$3,VLOOKUP(J27,'HOURLY RATES'!B$116:C$124,2,0))</f>
        <v>0</v>
      </c>
      <c r="I27" s="56">
        <f t="shared" si="1"/>
        <v>1</v>
      </c>
      <c r="J27" s="105" t="s">
        <v>224</v>
      </c>
      <c r="K27" s="394">
        <f>0.45%*($S$18)/M27</f>
        <v>90.528480257212507</v>
      </c>
      <c r="L27" s="63">
        <f t="shared" si="2"/>
        <v>90.528480257212507</v>
      </c>
      <c r="M27" s="61">
        <f>IF(VLOOKUP(E27,'HOURLY RATES'!C$6:D$105,2,0)=0,$E$3,VLOOKUP(E27,'HOURLY RATES'!C$6:D$105,2,0))</f>
        <v>60</v>
      </c>
      <c r="N27" s="61">
        <f t="shared" si="3"/>
        <v>5431.7088154327503</v>
      </c>
      <c r="O27" s="64"/>
      <c r="P27" s="64">
        <f t="shared" si="0"/>
        <v>0</v>
      </c>
      <c r="Q27" s="65">
        <f t="shared" si="4"/>
        <v>5431.7088154327503</v>
      </c>
      <c r="R27" s="173"/>
      <c r="S27" s="170">
        <f t="shared" si="5"/>
        <v>6615.8213371970887</v>
      </c>
      <c r="T27" s="169">
        <f t="shared" si="6"/>
        <v>6615.8213371970887</v>
      </c>
    </row>
    <row r="28" spans="1:22" s="7" customFormat="1" x14ac:dyDescent="0.25">
      <c r="A28" s="131">
        <f>IF(J28&lt;&gt;"",1+MAX($A$19:A27),"")</f>
        <v>8</v>
      </c>
      <c r="B28" s="53"/>
      <c r="C28" s="53"/>
      <c r="D28" s="106" t="s">
        <v>44</v>
      </c>
      <c r="E28" s="183" t="s">
        <v>45</v>
      </c>
      <c r="F28" s="177" t="s">
        <v>784</v>
      </c>
      <c r="G28" s="54">
        <v>1</v>
      </c>
      <c r="H28" s="55">
        <f>IF(VLOOKUP(J28,'HOURLY RATES'!B$116:C$124,2,0)=0,$J$3,VLOOKUP(J28,'HOURLY RATES'!B$116:C$124,2,0))</f>
        <v>0</v>
      </c>
      <c r="I28" s="56">
        <f t="shared" si="1"/>
        <v>1</v>
      </c>
      <c r="J28" s="105" t="s">
        <v>224</v>
      </c>
      <c r="K28" s="394"/>
      <c r="L28" s="63">
        <f t="shared" si="2"/>
        <v>0</v>
      </c>
      <c r="M28" s="61">
        <f>IF(VLOOKUP(E28,'HOURLY RATES'!C$6:D$105,2,0)=0,$E$3,VLOOKUP(E28,'HOURLY RATES'!C$6:D$105,2,0))</f>
        <v>60</v>
      </c>
      <c r="N28" s="61">
        <f t="shared" si="3"/>
        <v>0</v>
      </c>
      <c r="O28" s="64"/>
      <c r="P28" s="64">
        <f t="shared" si="0"/>
        <v>0</v>
      </c>
      <c r="Q28" s="65">
        <f t="shared" si="4"/>
        <v>0</v>
      </c>
      <c r="R28" s="173"/>
      <c r="S28" s="170">
        <f t="shared" si="5"/>
        <v>0</v>
      </c>
      <c r="T28" s="169">
        <f t="shared" si="6"/>
        <v>0</v>
      </c>
    </row>
    <row r="29" spans="1:22" s="7" customFormat="1" x14ac:dyDescent="0.25">
      <c r="A29" s="131">
        <f>IF(J29&lt;&gt;"",1+MAX($A$19:A28),"")</f>
        <v>9</v>
      </c>
      <c r="B29" s="53"/>
      <c r="C29" s="53"/>
      <c r="D29" s="106" t="s">
        <v>44</v>
      </c>
      <c r="E29" s="183" t="s">
        <v>45</v>
      </c>
      <c r="F29" s="177" t="s">
        <v>228</v>
      </c>
      <c r="G29" s="54">
        <v>1</v>
      </c>
      <c r="H29" s="55">
        <f>IF(VLOOKUP(J29,'HOURLY RATES'!B$116:C$124,2,0)=0,$J$3,VLOOKUP(J29,'HOURLY RATES'!B$116:C$124,2,0))</f>
        <v>0</v>
      </c>
      <c r="I29" s="56">
        <f t="shared" si="1"/>
        <v>1</v>
      </c>
      <c r="J29" s="105" t="s">
        <v>224</v>
      </c>
      <c r="K29" s="394"/>
      <c r="L29" s="63">
        <f t="shared" si="2"/>
        <v>0</v>
      </c>
      <c r="M29" s="61">
        <f>IF(VLOOKUP(E29,'HOURLY RATES'!C$6:D$105,2,0)=0,$E$3,VLOOKUP(E29,'HOURLY RATES'!C$6:D$105,2,0))</f>
        <v>60</v>
      </c>
      <c r="N29" s="61">
        <f t="shared" si="3"/>
        <v>0</v>
      </c>
      <c r="O29" s="64"/>
      <c r="P29" s="64">
        <f t="shared" si="0"/>
        <v>0</v>
      </c>
      <c r="Q29" s="65">
        <f t="shared" si="4"/>
        <v>0</v>
      </c>
      <c r="R29" s="173"/>
      <c r="S29" s="170">
        <f t="shared" si="5"/>
        <v>0</v>
      </c>
      <c r="T29" s="169">
        <f t="shared" si="6"/>
        <v>0</v>
      </c>
    </row>
    <row r="30" spans="1:22" s="7" customFormat="1" x14ac:dyDescent="0.25">
      <c r="A30" s="131">
        <f>IF(J30&lt;&gt;"",1+MAX($A$19:A29),"")</f>
        <v>10</v>
      </c>
      <c r="B30" s="53"/>
      <c r="C30" s="53"/>
      <c r="D30" s="106" t="s">
        <v>44</v>
      </c>
      <c r="E30" s="183" t="s">
        <v>45</v>
      </c>
      <c r="F30" s="177" t="s">
        <v>229</v>
      </c>
      <c r="G30" s="54">
        <v>1</v>
      </c>
      <c r="H30" s="55">
        <f>IF(VLOOKUP(J30,'HOURLY RATES'!B$116:C$124,2,0)=0,$J$3,VLOOKUP(J30,'HOURLY RATES'!B$116:C$124,2,0))</f>
        <v>0</v>
      </c>
      <c r="I30" s="56">
        <f t="shared" si="1"/>
        <v>1</v>
      </c>
      <c r="J30" s="105" t="s">
        <v>224</v>
      </c>
      <c r="K30" s="394"/>
      <c r="L30" s="63">
        <f t="shared" si="2"/>
        <v>0</v>
      </c>
      <c r="M30" s="61">
        <f>IF(VLOOKUP(E30,'HOURLY RATES'!C$6:D$105,2,0)=0,$E$3,VLOOKUP(E30,'HOURLY RATES'!C$6:D$105,2,0))</f>
        <v>60</v>
      </c>
      <c r="N30" s="61">
        <f t="shared" si="3"/>
        <v>0</v>
      </c>
      <c r="O30" s="64"/>
      <c r="P30" s="64">
        <f t="shared" si="0"/>
        <v>0</v>
      </c>
      <c r="Q30" s="65">
        <f t="shared" si="4"/>
        <v>0</v>
      </c>
      <c r="R30" s="173"/>
      <c r="S30" s="170">
        <f t="shared" si="5"/>
        <v>0</v>
      </c>
      <c r="T30" s="169">
        <f t="shared" si="6"/>
        <v>0</v>
      </c>
    </row>
    <row r="31" spans="1:22" s="7" customFormat="1" x14ac:dyDescent="0.25">
      <c r="A31" s="131">
        <f>IF(J31&lt;&gt;"",1+MAX($A$19:A30),"")</f>
        <v>11</v>
      </c>
      <c r="B31" s="53"/>
      <c r="C31" s="53"/>
      <c r="D31" s="106" t="s">
        <v>44</v>
      </c>
      <c r="E31" s="183" t="s">
        <v>45</v>
      </c>
      <c r="F31" s="177" t="s">
        <v>785</v>
      </c>
      <c r="G31" s="54">
        <v>1</v>
      </c>
      <c r="H31" s="55">
        <f>IF(VLOOKUP(J31,'HOURLY RATES'!B$116:C$124,2,0)=0,$J$3,VLOOKUP(J31,'HOURLY RATES'!B$116:C$124,2,0))</f>
        <v>0</v>
      </c>
      <c r="I31" s="56">
        <f t="shared" si="1"/>
        <v>1</v>
      </c>
      <c r="J31" s="105" t="s">
        <v>224</v>
      </c>
      <c r="K31" s="394"/>
      <c r="L31" s="63">
        <f t="shared" si="2"/>
        <v>0</v>
      </c>
      <c r="M31" s="61">
        <f>IF(VLOOKUP(E31,'HOURLY RATES'!C$6:D$105,2,0)=0,$E$3,VLOOKUP(E31,'HOURLY RATES'!C$6:D$105,2,0))</f>
        <v>60</v>
      </c>
      <c r="N31" s="61">
        <f t="shared" si="3"/>
        <v>0</v>
      </c>
      <c r="O31" s="64"/>
      <c r="P31" s="64">
        <f t="shared" si="0"/>
        <v>0</v>
      </c>
      <c r="Q31" s="65">
        <f t="shared" si="4"/>
        <v>0</v>
      </c>
      <c r="R31" s="173"/>
      <c r="S31" s="170">
        <f t="shared" si="5"/>
        <v>0</v>
      </c>
      <c r="T31" s="169">
        <f t="shared" si="6"/>
        <v>0</v>
      </c>
    </row>
    <row r="32" spans="1:22" s="7" customFormat="1" x14ac:dyDescent="0.25">
      <c r="A32" s="131" t="str">
        <f>IF(J32&lt;&gt;"",1+MAX($A$19:A31),"")</f>
        <v/>
      </c>
      <c r="B32" s="53"/>
      <c r="C32" s="53"/>
      <c r="D32" s="106"/>
      <c r="E32" s="183"/>
      <c r="F32" s="177" t="s">
        <v>248</v>
      </c>
      <c r="G32" s="54"/>
      <c r="H32" s="55"/>
      <c r="I32" s="56"/>
      <c r="J32" s="105"/>
      <c r="K32" s="394"/>
      <c r="L32" s="60"/>
      <c r="M32" s="61"/>
      <c r="N32" s="62"/>
      <c r="O32" s="64"/>
      <c r="P32" s="64"/>
      <c r="Q32" s="65"/>
      <c r="R32" s="173"/>
      <c r="S32" s="170"/>
      <c r="T32" s="169"/>
    </row>
    <row r="33" spans="1:20" s="7" customFormat="1" x14ac:dyDescent="0.25">
      <c r="A33" s="131" t="str">
        <f>IF(J33&lt;&gt;"",1+MAX($A$19:A32),"")</f>
        <v/>
      </c>
      <c r="B33" s="53"/>
      <c r="C33" s="53"/>
      <c r="D33" s="106"/>
      <c r="E33" s="183"/>
      <c r="F33" s="176" t="s">
        <v>75</v>
      </c>
      <c r="G33" s="54"/>
      <c r="H33" s="55"/>
      <c r="I33" s="56"/>
      <c r="J33" s="105"/>
      <c r="K33" s="394"/>
      <c r="L33" s="60"/>
      <c r="M33" s="61"/>
      <c r="N33" s="62"/>
      <c r="O33" s="64"/>
      <c r="P33" s="64"/>
      <c r="Q33" s="65"/>
      <c r="R33" s="173"/>
      <c r="S33" s="170"/>
      <c r="T33" s="169"/>
    </row>
    <row r="34" spans="1:20" s="7" customFormat="1" x14ac:dyDescent="0.25">
      <c r="A34" s="131">
        <f>IF(J34&lt;&gt;"",1+MAX($A$19:A33),"")</f>
        <v>12</v>
      </c>
      <c r="B34" s="53"/>
      <c r="C34" s="53"/>
      <c r="D34" s="106" t="s">
        <v>44</v>
      </c>
      <c r="E34" s="183" t="s">
        <v>45</v>
      </c>
      <c r="F34" s="177" t="s">
        <v>786</v>
      </c>
      <c r="G34" s="54">
        <v>1</v>
      </c>
      <c r="H34" s="55">
        <f>IF(VLOOKUP(J34,'HOURLY RATES'!B$116:C$124,2,0)=0,$J$3,VLOOKUP(J34,'HOURLY RATES'!B$116:C$124,2,0))</f>
        <v>0</v>
      </c>
      <c r="I34" s="56">
        <f t="shared" ref="I34:I37" si="7">(G34*(1+H34))</f>
        <v>1</v>
      </c>
      <c r="J34" s="105" t="s">
        <v>224</v>
      </c>
      <c r="K34" s="394">
        <f>(0.288%*(S18)/M34)*0.9</f>
        <v>52.144404628154383</v>
      </c>
      <c r="L34" s="63">
        <f t="shared" ref="L34:L37" si="8">K34*I34</f>
        <v>52.144404628154383</v>
      </c>
      <c r="M34" s="61">
        <f>IF(VLOOKUP(E34,'HOURLY RATES'!C$6:D$105,2,0)=0,$E$3,VLOOKUP(E34,'HOURLY RATES'!C$6:D$105,2,0))</f>
        <v>60</v>
      </c>
      <c r="N34" s="61">
        <f t="shared" ref="N34:N37" si="9">M34*L34</f>
        <v>3128.6642776892631</v>
      </c>
      <c r="O34" s="64"/>
      <c r="P34" s="64">
        <f t="shared" ref="P34:P37" si="10">O34*I34</f>
        <v>0</v>
      </c>
      <c r="Q34" s="65">
        <f t="shared" ref="Q34:Q37" si="11">P34+N34</f>
        <v>3128.6642776892631</v>
      </c>
      <c r="R34" s="173"/>
      <c r="S34" s="170">
        <f t="shared" ref="S34:S37" si="12">((((N34*(1+$D$7))+(P34*(1+$D$5+$D$6)))*(1+$D$8)))/I34</f>
        <v>3810.7130902255221</v>
      </c>
      <c r="T34" s="169">
        <f t="shared" ref="T34:T37" si="13">S34*I34</f>
        <v>3810.7130902255221</v>
      </c>
    </row>
    <row r="35" spans="1:20" s="7" customFormat="1" x14ac:dyDescent="0.25">
      <c r="A35" s="131">
        <f>IF(J35&lt;&gt;"",1+MAX($A$19:A34),"")</f>
        <v>13</v>
      </c>
      <c r="B35" s="53"/>
      <c r="C35" s="53"/>
      <c r="D35" s="106" t="s">
        <v>44</v>
      </c>
      <c r="E35" s="183" t="s">
        <v>45</v>
      </c>
      <c r="F35" s="177" t="s">
        <v>787</v>
      </c>
      <c r="G35" s="54">
        <v>1</v>
      </c>
      <c r="H35" s="55">
        <f>IF(VLOOKUP(J35,'HOURLY RATES'!B$116:C$124,2,0)=0,$J$3,VLOOKUP(J35,'HOURLY RATES'!B$116:C$124,2,0))</f>
        <v>0</v>
      </c>
      <c r="I35" s="56">
        <f t="shared" si="7"/>
        <v>1</v>
      </c>
      <c r="J35" s="105" t="s">
        <v>224</v>
      </c>
      <c r="K35" s="394">
        <f>(0.257%*(S18)/M35)*0.9</f>
        <v>46.531638852207216</v>
      </c>
      <c r="L35" s="63">
        <f t="shared" si="8"/>
        <v>46.531638852207216</v>
      </c>
      <c r="M35" s="61">
        <f>IF(VLOOKUP(E35,'HOURLY RATES'!C$6:D$105,2,0)=0,$E$3,VLOOKUP(E35,'HOURLY RATES'!C$6:D$105,2,0))</f>
        <v>60</v>
      </c>
      <c r="N35" s="61">
        <f t="shared" si="9"/>
        <v>2791.8983311324328</v>
      </c>
      <c r="O35" s="64"/>
      <c r="P35" s="64">
        <f t="shared" si="10"/>
        <v>0</v>
      </c>
      <c r="Q35" s="65">
        <f t="shared" si="11"/>
        <v>2791.8983311324328</v>
      </c>
      <c r="R35" s="173"/>
      <c r="S35" s="170">
        <f t="shared" si="12"/>
        <v>3400.5321673193025</v>
      </c>
      <c r="T35" s="169">
        <f t="shared" si="13"/>
        <v>3400.5321673193025</v>
      </c>
    </row>
    <row r="36" spans="1:20" s="7" customFormat="1" x14ac:dyDescent="0.25">
      <c r="A36" s="131">
        <f>IF(J36&lt;&gt;"",1+MAX($A$19:A35),"")</f>
        <v>14</v>
      </c>
      <c r="B36" s="53"/>
      <c r="C36" s="53"/>
      <c r="D36" s="106" t="s">
        <v>44</v>
      </c>
      <c r="E36" s="183" t="s">
        <v>45</v>
      </c>
      <c r="F36" s="177" t="s">
        <v>788</v>
      </c>
      <c r="G36" s="54">
        <v>1</v>
      </c>
      <c r="H36" s="55">
        <f>IF(VLOOKUP(J36,'HOURLY RATES'!B$116:C$124,2,0)=0,$J$3,VLOOKUP(J36,'HOURLY RATES'!B$116:C$124,2,0))</f>
        <v>0</v>
      </c>
      <c r="I36" s="56">
        <f t="shared" si="7"/>
        <v>1</v>
      </c>
      <c r="J36" s="105" t="s">
        <v>224</v>
      </c>
      <c r="K36" s="394">
        <f>(0.65%*(S18)/M36)*0.9</f>
        <v>117.68702433437625</v>
      </c>
      <c r="L36" s="63">
        <f t="shared" si="8"/>
        <v>117.68702433437625</v>
      </c>
      <c r="M36" s="61">
        <f>IF(VLOOKUP(E36,'HOURLY RATES'!C$6:D$105,2,0)=0,$E$3,VLOOKUP(E36,'HOURLY RATES'!C$6:D$105,2,0))</f>
        <v>60</v>
      </c>
      <c r="N36" s="61">
        <f t="shared" si="9"/>
        <v>7061.2214600625748</v>
      </c>
      <c r="O36" s="64"/>
      <c r="P36" s="64">
        <f t="shared" si="10"/>
        <v>0</v>
      </c>
      <c r="Q36" s="65">
        <f t="shared" si="11"/>
        <v>7061.2214600625748</v>
      </c>
      <c r="R36" s="173"/>
      <c r="S36" s="170">
        <f t="shared" si="12"/>
        <v>8600.5677383562161</v>
      </c>
      <c r="T36" s="169">
        <f t="shared" si="13"/>
        <v>8600.5677383562161</v>
      </c>
    </row>
    <row r="37" spans="1:20" s="7" customFormat="1" ht="31.2" x14ac:dyDescent="0.25">
      <c r="A37" s="131">
        <f>IF(J37&lt;&gt;"",1+MAX($A$19:A36),"")</f>
        <v>15</v>
      </c>
      <c r="B37" s="53"/>
      <c r="C37" s="53"/>
      <c r="D37" s="106" t="s">
        <v>44</v>
      </c>
      <c r="E37" s="183" t="s">
        <v>45</v>
      </c>
      <c r="F37" s="177" t="s">
        <v>971</v>
      </c>
      <c r="G37" s="54">
        <v>1</v>
      </c>
      <c r="H37" s="55">
        <v>0</v>
      </c>
      <c r="I37" s="56">
        <f t="shared" si="7"/>
        <v>1</v>
      </c>
      <c r="J37" s="105" t="s">
        <v>224</v>
      </c>
      <c r="K37" s="394">
        <v>18</v>
      </c>
      <c r="L37" s="63">
        <f t="shared" si="8"/>
        <v>18</v>
      </c>
      <c r="M37" s="61">
        <v>60</v>
      </c>
      <c r="N37" s="61">
        <f t="shared" si="9"/>
        <v>1080</v>
      </c>
      <c r="O37" s="64"/>
      <c r="P37" s="64">
        <f t="shared" si="10"/>
        <v>0</v>
      </c>
      <c r="Q37" s="65">
        <f t="shared" si="11"/>
        <v>1080</v>
      </c>
      <c r="R37" s="173"/>
      <c r="S37" s="170">
        <f t="shared" si="12"/>
        <v>1315.4399999999998</v>
      </c>
      <c r="T37" s="169">
        <f t="shared" si="13"/>
        <v>1315.4399999999998</v>
      </c>
    </row>
    <row r="38" spans="1:20" s="7" customFormat="1" x14ac:dyDescent="0.25">
      <c r="A38" s="131" t="str">
        <f>IF(J38&lt;&gt;"",1+MAX($A$19:A37),"")</f>
        <v/>
      </c>
      <c r="B38" s="53"/>
      <c r="C38" s="53"/>
      <c r="D38" s="106"/>
      <c r="E38" s="183"/>
      <c r="F38" s="177" t="s">
        <v>248</v>
      </c>
      <c r="G38" s="54"/>
      <c r="H38" s="55"/>
      <c r="I38" s="56"/>
      <c r="J38" s="105"/>
      <c r="K38" s="394"/>
      <c r="L38" s="63"/>
      <c r="M38" s="61"/>
      <c r="N38" s="61"/>
      <c r="O38" s="64"/>
      <c r="P38" s="64"/>
      <c r="Q38" s="65"/>
      <c r="R38" s="173"/>
      <c r="S38" s="170"/>
      <c r="T38" s="169"/>
    </row>
    <row r="39" spans="1:20" s="7" customFormat="1" x14ac:dyDescent="0.25">
      <c r="A39" s="131" t="str">
        <f>IF(J39&lt;&gt;"",1+MAX($A$19:A38),"")</f>
        <v/>
      </c>
      <c r="B39" s="53"/>
      <c r="C39" s="53"/>
      <c r="D39" s="106"/>
      <c r="E39" s="183"/>
      <c r="F39" s="176" t="s">
        <v>789</v>
      </c>
      <c r="G39" s="54"/>
      <c r="H39" s="55"/>
      <c r="I39" s="56"/>
      <c r="J39" s="105"/>
      <c r="K39" s="394"/>
      <c r="L39" s="60"/>
      <c r="M39" s="61"/>
      <c r="N39" s="62"/>
      <c r="O39" s="64"/>
      <c r="P39" s="64"/>
      <c r="Q39" s="65"/>
      <c r="R39" s="173"/>
      <c r="S39" s="170"/>
      <c r="T39" s="169"/>
    </row>
    <row r="40" spans="1:20" s="7" customFormat="1" x14ac:dyDescent="0.25">
      <c r="A40" s="131">
        <f>IF(J40&lt;&gt;"",1+MAX($A$19:A39),"")</f>
        <v>16</v>
      </c>
      <c r="B40" s="53"/>
      <c r="C40" s="53"/>
      <c r="D40" s="106" t="s">
        <v>44</v>
      </c>
      <c r="E40" s="183" t="s">
        <v>45</v>
      </c>
      <c r="F40" s="177" t="s">
        <v>230</v>
      </c>
      <c r="G40" s="54">
        <v>1</v>
      </c>
      <c r="H40" s="55">
        <f>IF(VLOOKUP(J40,'HOURLY RATES'!B$116:C$124,2,0)=0,$J$3,VLOOKUP(J40,'HOURLY RATES'!B$116:C$124,2,0))</f>
        <v>0</v>
      </c>
      <c r="I40" s="56">
        <f t="shared" ref="I40:I47" si="14">(G40*(1+H40))</f>
        <v>1</v>
      </c>
      <c r="J40" s="105" t="s">
        <v>224</v>
      </c>
      <c r="K40" s="394"/>
      <c r="L40" s="63">
        <f t="shared" ref="L40:L47" si="15">K40*I40</f>
        <v>0</v>
      </c>
      <c r="M40" s="61">
        <f>IF(VLOOKUP(E40,'HOURLY RATES'!C$6:D$105,2,0)=0,$E$3,VLOOKUP(E40,'HOURLY RATES'!C$6:D$105,2,0))</f>
        <v>60</v>
      </c>
      <c r="N40" s="61">
        <f t="shared" ref="N40:N47" si="16">M40*L40</f>
        <v>0</v>
      </c>
      <c r="O40" s="64"/>
      <c r="P40" s="64">
        <f t="shared" ref="P40:P47" si="17">O40*I40</f>
        <v>0</v>
      </c>
      <c r="Q40" s="65">
        <f t="shared" si="4"/>
        <v>0</v>
      </c>
      <c r="R40" s="173"/>
      <c r="S40" s="170">
        <f t="shared" ref="S40:S47" si="18">((((N40*(1+$D$7))+(P40*(1+$D$5+$D$6)))*(1+$D$8)))/I40</f>
        <v>0</v>
      </c>
      <c r="T40" s="169">
        <f t="shared" ref="T40:T47" si="19">S40*I40</f>
        <v>0</v>
      </c>
    </row>
    <row r="41" spans="1:20" s="7" customFormat="1" x14ac:dyDescent="0.25">
      <c r="A41" s="131">
        <f>IF(J41&lt;&gt;"",1+MAX($A$19:A40),"")</f>
        <v>17</v>
      </c>
      <c r="B41" s="53"/>
      <c r="C41" s="53"/>
      <c r="D41" s="106" t="s">
        <v>44</v>
      </c>
      <c r="E41" s="183" t="s">
        <v>45</v>
      </c>
      <c r="F41" s="177" t="s">
        <v>231</v>
      </c>
      <c r="G41" s="54">
        <v>1</v>
      </c>
      <c r="H41" s="55">
        <f>IF(VLOOKUP(J41,'HOURLY RATES'!B$116:C$124,2,0)=0,$J$3,VLOOKUP(J41,'HOURLY RATES'!B$116:C$124,2,0))</f>
        <v>0</v>
      </c>
      <c r="I41" s="56">
        <f t="shared" si="14"/>
        <v>1</v>
      </c>
      <c r="J41" s="105" t="s">
        <v>224</v>
      </c>
      <c r="K41" s="394"/>
      <c r="L41" s="63">
        <f t="shared" si="15"/>
        <v>0</v>
      </c>
      <c r="M41" s="61">
        <f>IF(VLOOKUP(E41,'HOURLY RATES'!C$6:D$105,2,0)=0,$E$3,VLOOKUP(E41,'HOURLY RATES'!C$6:D$105,2,0))</f>
        <v>60</v>
      </c>
      <c r="N41" s="61">
        <f t="shared" si="16"/>
        <v>0</v>
      </c>
      <c r="O41" s="64"/>
      <c r="P41" s="64">
        <f t="shared" si="17"/>
        <v>0</v>
      </c>
      <c r="Q41" s="65">
        <f t="shared" si="4"/>
        <v>0</v>
      </c>
      <c r="R41" s="173"/>
      <c r="S41" s="170">
        <f t="shared" si="18"/>
        <v>0</v>
      </c>
      <c r="T41" s="169">
        <f t="shared" si="19"/>
        <v>0</v>
      </c>
    </row>
    <row r="42" spans="1:20" s="7" customFormat="1" x14ac:dyDescent="0.25">
      <c r="A42" s="131">
        <f>IF(J42&lt;&gt;"",1+MAX($A$19:A41),"")</f>
        <v>18</v>
      </c>
      <c r="B42" s="53"/>
      <c r="C42" s="53"/>
      <c r="D42" s="106" t="s">
        <v>44</v>
      </c>
      <c r="E42" s="183" t="s">
        <v>45</v>
      </c>
      <c r="F42" s="177" t="s">
        <v>232</v>
      </c>
      <c r="G42" s="54">
        <v>1</v>
      </c>
      <c r="H42" s="55">
        <f>IF(VLOOKUP(J42,'HOURLY RATES'!B$116:C$124,2,0)=0,$J$3,VLOOKUP(J42,'HOURLY RATES'!B$116:C$124,2,0))</f>
        <v>0</v>
      </c>
      <c r="I42" s="56">
        <f t="shared" si="14"/>
        <v>1</v>
      </c>
      <c r="J42" s="105" t="s">
        <v>224</v>
      </c>
      <c r="K42" s="394"/>
      <c r="L42" s="63">
        <f t="shared" si="15"/>
        <v>0</v>
      </c>
      <c r="M42" s="61">
        <f>IF(VLOOKUP(E42,'HOURLY RATES'!C$6:D$105,2,0)=0,$E$3,VLOOKUP(E42,'HOURLY RATES'!C$6:D$105,2,0))</f>
        <v>60</v>
      </c>
      <c r="N42" s="61">
        <f t="shared" si="16"/>
        <v>0</v>
      </c>
      <c r="O42" s="64"/>
      <c r="P42" s="64">
        <f t="shared" si="17"/>
        <v>0</v>
      </c>
      <c r="Q42" s="65">
        <f t="shared" si="4"/>
        <v>0</v>
      </c>
      <c r="R42" s="173"/>
      <c r="S42" s="170">
        <f t="shared" si="18"/>
        <v>0</v>
      </c>
      <c r="T42" s="169">
        <f t="shared" si="19"/>
        <v>0</v>
      </c>
    </row>
    <row r="43" spans="1:20" s="7" customFormat="1" x14ac:dyDescent="0.25">
      <c r="A43" s="131">
        <f>IF(J43&lt;&gt;"",1+MAX($A$19:A42),"")</f>
        <v>19</v>
      </c>
      <c r="B43" s="53"/>
      <c r="C43" s="53"/>
      <c r="D43" s="106" t="s">
        <v>44</v>
      </c>
      <c r="E43" s="183" t="s">
        <v>45</v>
      </c>
      <c r="F43" s="177" t="s">
        <v>233</v>
      </c>
      <c r="G43" s="54">
        <v>1</v>
      </c>
      <c r="H43" s="55">
        <f>IF(VLOOKUP(J43,'HOURLY RATES'!B$116:C$124,2,0)=0,$J$3,VLOOKUP(J43,'HOURLY RATES'!B$116:C$124,2,0))</f>
        <v>0</v>
      </c>
      <c r="I43" s="56">
        <f t="shared" si="14"/>
        <v>1</v>
      </c>
      <c r="J43" s="105" t="s">
        <v>224</v>
      </c>
      <c r="K43" s="394"/>
      <c r="L43" s="63">
        <f t="shared" si="15"/>
        <v>0</v>
      </c>
      <c r="M43" s="61">
        <f>IF(VLOOKUP(E43,'HOURLY RATES'!C$6:D$105,2,0)=0,$E$3,VLOOKUP(E43,'HOURLY RATES'!C$6:D$105,2,0))</f>
        <v>60</v>
      </c>
      <c r="N43" s="61">
        <f t="shared" si="16"/>
        <v>0</v>
      </c>
      <c r="O43" s="64"/>
      <c r="P43" s="64">
        <f t="shared" si="17"/>
        <v>0</v>
      </c>
      <c r="Q43" s="65">
        <f t="shared" si="4"/>
        <v>0</v>
      </c>
      <c r="R43" s="173"/>
      <c r="S43" s="170">
        <f t="shared" si="18"/>
        <v>0</v>
      </c>
      <c r="T43" s="169">
        <f t="shared" si="19"/>
        <v>0</v>
      </c>
    </row>
    <row r="44" spans="1:20" s="7" customFormat="1" x14ac:dyDescent="0.25">
      <c r="A44" s="131">
        <f>IF(J44&lt;&gt;"",1+MAX($A$19:A43),"")</f>
        <v>20</v>
      </c>
      <c r="B44" s="53"/>
      <c r="C44" s="53"/>
      <c r="D44" s="106" t="s">
        <v>44</v>
      </c>
      <c r="E44" s="183" t="s">
        <v>45</v>
      </c>
      <c r="F44" s="177" t="s">
        <v>234</v>
      </c>
      <c r="G44" s="54">
        <v>1</v>
      </c>
      <c r="H44" s="55">
        <f>IF(VLOOKUP(J44,'HOURLY RATES'!B$116:C$124,2,0)=0,$J$3,VLOOKUP(J44,'HOURLY RATES'!B$116:C$124,2,0))</f>
        <v>0</v>
      </c>
      <c r="I44" s="56">
        <f t="shared" si="14"/>
        <v>1</v>
      </c>
      <c r="J44" s="105" t="s">
        <v>224</v>
      </c>
      <c r="K44" s="394"/>
      <c r="L44" s="63">
        <f t="shared" si="15"/>
        <v>0</v>
      </c>
      <c r="M44" s="61">
        <f>IF(VLOOKUP(E44,'HOURLY RATES'!C$6:D$105,2,0)=0,$E$3,VLOOKUP(E44,'HOURLY RATES'!C$6:D$105,2,0))</f>
        <v>60</v>
      </c>
      <c r="N44" s="61">
        <f t="shared" si="16"/>
        <v>0</v>
      </c>
      <c r="O44" s="64"/>
      <c r="P44" s="64">
        <f t="shared" si="17"/>
        <v>0</v>
      </c>
      <c r="Q44" s="65">
        <f t="shared" si="4"/>
        <v>0</v>
      </c>
      <c r="R44" s="173"/>
      <c r="S44" s="170">
        <f t="shared" si="18"/>
        <v>0</v>
      </c>
      <c r="T44" s="169">
        <f t="shared" si="19"/>
        <v>0</v>
      </c>
    </row>
    <row r="45" spans="1:20" s="7" customFormat="1" x14ac:dyDescent="0.25">
      <c r="A45" s="131">
        <f>IF(J45&lt;&gt;"",1+MAX($A$19:A44),"")</f>
        <v>21</v>
      </c>
      <c r="B45" s="53"/>
      <c r="C45" s="53"/>
      <c r="D45" s="106" t="s">
        <v>44</v>
      </c>
      <c r="E45" s="183" t="s">
        <v>45</v>
      </c>
      <c r="F45" s="177" t="s">
        <v>235</v>
      </c>
      <c r="G45" s="54">
        <v>1</v>
      </c>
      <c r="H45" s="55">
        <f>IF(VLOOKUP(J45,'HOURLY RATES'!B$116:C$124,2,0)=0,$J$3,VLOOKUP(J45,'HOURLY RATES'!B$116:C$124,2,0))</f>
        <v>0</v>
      </c>
      <c r="I45" s="56">
        <f t="shared" si="14"/>
        <v>1</v>
      </c>
      <c r="J45" s="105" t="s">
        <v>224</v>
      </c>
      <c r="K45" s="394">
        <f>2.5%*($S$18)/M45</f>
        <v>502.93600142895832</v>
      </c>
      <c r="L45" s="63">
        <f t="shared" si="15"/>
        <v>502.93600142895832</v>
      </c>
      <c r="M45" s="61">
        <f>IF(VLOOKUP(E45,'HOURLY RATES'!C$6:D$105,2,0)=0,$E$3,VLOOKUP(E45,'HOURLY RATES'!C$6:D$105,2,0))</f>
        <v>60</v>
      </c>
      <c r="N45" s="61">
        <f t="shared" si="16"/>
        <v>30176.160085737498</v>
      </c>
      <c r="O45" s="64"/>
      <c r="P45" s="64">
        <f t="shared" si="17"/>
        <v>0</v>
      </c>
      <c r="Q45" s="65">
        <f t="shared" si="4"/>
        <v>30176.160085737498</v>
      </c>
      <c r="R45" s="173"/>
      <c r="S45" s="170">
        <f t="shared" si="18"/>
        <v>36754.562984428267</v>
      </c>
      <c r="T45" s="169">
        <f t="shared" si="19"/>
        <v>36754.562984428267</v>
      </c>
    </row>
    <row r="46" spans="1:20" s="7" customFormat="1" x14ac:dyDescent="0.25">
      <c r="A46" s="131">
        <f>IF(J46&lt;&gt;"",1+MAX($A$19:A45),"")</f>
        <v>22</v>
      </c>
      <c r="B46" s="53"/>
      <c r="C46" s="53"/>
      <c r="D46" s="106" t="s">
        <v>44</v>
      </c>
      <c r="E46" s="183" t="s">
        <v>45</v>
      </c>
      <c r="F46" s="177" t="s">
        <v>969</v>
      </c>
      <c r="G46" s="54">
        <v>1</v>
      </c>
      <c r="H46" s="55">
        <v>0</v>
      </c>
      <c r="I46" s="56">
        <f t="shared" si="14"/>
        <v>1</v>
      </c>
      <c r="J46" s="105" t="s">
        <v>224</v>
      </c>
      <c r="K46" s="394">
        <f>0.85%*($S$18)/M46</f>
        <v>170.9982404858458</v>
      </c>
      <c r="L46" s="63">
        <f t="shared" si="15"/>
        <v>170.9982404858458</v>
      </c>
      <c r="M46" s="61">
        <v>60</v>
      </c>
      <c r="N46" s="61">
        <f t="shared" si="16"/>
        <v>10259.894429150749</v>
      </c>
      <c r="O46" s="64"/>
      <c r="P46" s="64">
        <f t="shared" si="17"/>
        <v>0</v>
      </c>
      <c r="Q46" s="65">
        <f t="shared" si="4"/>
        <v>10259.894429150749</v>
      </c>
      <c r="R46" s="173"/>
      <c r="S46" s="170">
        <f t="shared" si="18"/>
        <v>12496.551414705609</v>
      </c>
      <c r="T46" s="169">
        <f t="shared" si="19"/>
        <v>12496.551414705609</v>
      </c>
    </row>
    <row r="47" spans="1:20" s="7" customFormat="1" x14ac:dyDescent="0.25">
      <c r="A47" s="131">
        <f>IF(J47&lt;&gt;"",1+MAX($A$19:A46),"")</f>
        <v>23</v>
      </c>
      <c r="B47" s="53"/>
      <c r="C47" s="53"/>
      <c r="D47" s="106" t="s">
        <v>44</v>
      </c>
      <c r="E47" s="183" t="s">
        <v>45</v>
      </c>
      <c r="F47" s="177" t="s">
        <v>970</v>
      </c>
      <c r="G47" s="54">
        <v>1</v>
      </c>
      <c r="H47" s="55">
        <v>0</v>
      </c>
      <c r="I47" s="56">
        <f t="shared" si="14"/>
        <v>1</v>
      </c>
      <c r="J47" s="105" t="s">
        <v>224</v>
      </c>
      <c r="K47" s="394">
        <f>0.5%*($S$18)/M47</f>
        <v>100.58720028579165</v>
      </c>
      <c r="L47" s="63">
        <f t="shared" si="15"/>
        <v>100.58720028579165</v>
      </c>
      <c r="M47" s="61">
        <v>60</v>
      </c>
      <c r="N47" s="61">
        <f t="shared" si="16"/>
        <v>6035.2320171474994</v>
      </c>
      <c r="O47" s="64"/>
      <c r="P47" s="64">
        <f t="shared" si="17"/>
        <v>0</v>
      </c>
      <c r="Q47" s="65">
        <f t="shared" si="4"/>
        <v>6035.2320171474994</v>
      </c>
      <c r="R47" s="173"/>
      <c r="S47" s="170">
        <f t="shared" si="18"/>
        <v>7350.9125968856533</v>
      </c>
      <c r="T47" s="169">
        <f t="shared" si="19"/>
        <v>7350.9125968856533</v>
      </c>
    </row>
    <row r="48" spans="1:20" s="7" customFormat="1" x14ac:dyDescent="0.25">
      <c r="A48" s="131" t="str">
        <f>IF(J48&lt;&gt;"",1+MAX($A$19:A47),"")</f>
        <v/>
      </c>
      <c r="B48" s="53"/>
      <c r="C48" s="53"/>
      <c r="D48" s="106"/>
      <c r="E48" s="183"/>
      <c r="F48" s="177" t="s">
        <v>248</v>
      </c>
      <c r="G48" s="54"/>
      <c r="H48" s="55"/>
      <c r="I48" s="56"/>
      <c r="J48" s="105"/>
      <c r="K48" s="394"/>
      <c r="L48" s="60"/>
      <c r="M48" s="61"/>
      <c r="N48" s="61"/>
      <c r="O48" s="64"/>
      <c r="P48" s="64"/>
      <c r="Q48" s="65"/>
      <c r="R48" s="173"/>
      <c r="S48" s="170"/>
      <c r="T48" s="169"/>
    </row>
    <row r="49" spans="1:20" s="7" customFormat="1" x14ac:dyDescent="0.25">
      <c r="A49" s="131" t="str">
        <f>IF(J49&lt;&gt;"",1+MAX($A$19:A48),"")</f>
        <v/>
      </c>
      <c r="B49" s="53"/>
      <c r="C49" s="53"/>
      <c r="D49" s="106"/>
      <c r="E49" s="183"/>
      <c r="F49" s="176" t="s">
        <v>790</v>
      </c>
      <c r="G49" s="54"/>
      <c r="H49" s="55"/>
      <c r="I49" s="56"/>
      <c r="J49" s="105"/>
      <c r="K49" s="394"/>
      <c r="L49" s="60"/>
      <c r="M49" s="61"/>
      <c r="N49" s="61"/>
      <c r="O49" s="64"/>
      <c r="P49" s="64">
        <f t="shared" ref="P49:P54" si="20">O49*I49</f>
        <v>0</v>
      </c>
      <c r="Q49" s="65"/>
      <c r="R49" s="173"/>
      <c r="S49" s="170"/>
      <c r="T49" s="169"/>
    </row>
    <row r="50" spans="1:20" s="7" customFormat="1" x14ac:dyDescent="0.25">
      <c r="A50" s="131">
        <f>IF(J50&lt;&gt;"",1+MAX($A$19:A49),"")</f>
        <v>24</v>
      </c>
      <c r="B50" s="53"/>
      <c r="C50" s="53"/>
      <c r="D50" s="106" t="s">
        <v>44</v>
      </c>
      <c r="E50" s="183" t="s">
        <v>45</v>
      </c>
      <c r="F50" s="177" t="s">
        <v>236</v>
      </c>
      <c r="G50" s="54">
        <v>1</v>
      </c>
      <c r="H50" s="55">
        <f>IF(VLOOKUP(J50,'HOURLY RATES'!B$116:C$124,2,0)=0,$J$3,VLOOKUP(J50,'HOURLY RATES'!B$116:C$124,2,0))</f>
        <v>0</v>
      </c>
      <c r="I50" s="56">
        <f t="shared" ref="I50:I54" si="21">(G50*(1+H50))</f>
        <v>1</v>
      </c>
      <c r="J50" s="105" t="s">
        <v>224</v>
      </c>
      <c r="K50" s="394"/>
      <c r="L50" s="63">
        <f t="shared" ref="L50:L54" si="22">K50*I50</f>
        <v>0</v>
      </c>
      <c r="M50" s="61">
        <f>IF(VLOOKUP(E50,'HOURLY RATES'!C$6:D$105,2,0)=0,$E$3,VLOOKUP(E50,'HOURLY RATES'!C$6:D$105,2,0))</f>
        <v>60</v>
      </c>
      <c r="N50" s="61">
        <f t="shared" ref="N50:N54" si="23">M50*L50</f>
        <v>0</v>
      </c>
      <c r="O50" s="64"/>
      <c r="P50" s="64">
        <f t="shared" si="20"/>
        <v>0</v>
      </c>
      <c r="Q50" s="65">
        <f t="shared" si="4"/>
        <v>0</v>
      </c>
      <c r="R50" s="173"/>
      <c r="S50" s="170">
        <f t="shared" ref="S50:S54" si="24">((((N50*(1+$D$7))+(P50*(1+$D$5+$D$6)))*(1+$D$8)))/I50</f>
        <v>0</v>
      </c>
      <c r="T50" s="169">
        <f t="shared" ref="T50:T54" si="25">S50*I50</f>
        <v>0</v>
      </c>
    </row>
    <row r="51" spans="1:20" s="7" customFormat="1" x14ac:dyDescent="0.25">
      <c r="A51" s="131">
        <f>IF(J51&lt;&gt;"",1+MAX($A$19:A50),"")</f>
        <v>25</v>
      </c>
      <c r="B51" s="53"/>
      <c r="C51" s="53"/>
      <c r="D51" s="106" t="s">
        <v>44</v>
      </c>
      <c r="E51" s="183" t="s">
        <v>45</v>
      </c>
      <c r="F51" s="177" t="s">
        <v>237</v>
      </c>
      <c r="G51" s="54">
        <v>1</v>
      </c>
      <c r="H51" s="55">
        <f>IF(VLOOKUP(J51,'HOURLY RATES'!B$116:C$124,2,0)=0,$J$3,VLOOKUP(J51,'HOURLY RATES'!B$116:C$124,2,0))</f>
        <v>0</v>
      </c>
      <c r="I51" s="56">
        <f t="shared" si="21"/>
        <v>1</v>
      </c>
      <c r="J51" s="105" t="s">
        <v>224</v>
      </c>
      <c r="K51" s="394"/>
      <c r="L51" s="63">
        <f t="shared" si="22"/>
        <v>0</v>
      </c>
      <c r="M51" s="61">
        <f>IF(VLOOKUP(E51,'HOURLY RATES'!C$6:D$105,2,0)=0,$E$3,VLOOKUP(E51,'HOURLY RATES'!C$6:D$105,2,0))</f>
        <v>60</v>
      </c>
      <c r="N51" s="61">
        <f t="shared" si="23"/>
        <v>0</v>
      </c>
      <c r="O51" s="64"/>
      <c r="P51" s="64">
        <f t="shared" si="20"/>
        <v>0</v>
      </c>
      <c r="Q51" s="65">
        <f t="shared" si="4"/>
        <v>0</v>
      </c>
      <c r="R51" s="173"/>
      <c r="S51" s="170">
        <f t="shared" si="24"/>
        <v>0</v>
      </c>
      <c r="T51" s="169">
        <f t="shared" si="25"/>
        <v>0</v>
      </c>
    </row>
    <row r="52" spans="1:20" s="7" customFormat="1" x14ac:dyDescent="0.25">
      <c r="A52" s="131">
        <f>IF(J52&lt;&gt;"",1+MAX($A$19:A51),"")</f>
        <v>26</v>
      </c>
      <c r="B52" s="53"/>
      <c r="C52" s="53"/>
      <c r="D52" s="106" t="s">
        <v>44</v>
      </c>
      <c r="E52" s="183" t="s">
        <v>45</v>
      </c>
      <c r="F52" s="177" t="s">
        <v>238</v>
      </c>
      <c r="G52" s="54">
        <v>1</v>
      </c>
      <c r="H52" s="55">
        <f>IF(VLOOKUP(J52,'HOURLY RATES'!B$116:C$124,2,0)=0,$J$3,VLOOKUP(J52,'HOURLY RATES'!B$116:C$124,2,0))</f>
        <v>0</v>
      </c>
      <c r="I52" s="56">
        <f t="shared" si="21"/>
        <v>1</v>
      </c>
      <c r="J52" s="105" t="s">
        <v>224</v>
      </c>
      <c r="K52" s="394"/>
      <c r="L52" s="63">
        <f t="shared" si="22"/>
        <v>0</v>
      </c>
      <c r="M52" s="61">
        <f>IF(VLOOKUP(E52,'HOURLY RATES'!C$6:D$105,2,0)=0,$E$3,VLOOKUP(E52,'HOURLY RATES'!C$6:D$105,2,0))</f>
        <v>60</v>
      </c>
      <c r="N52" s="61">
        <f t="shared" si="23"/>
        <v>0</v>
      </c>
      <c r="O52" s="64"/>
      <c r="P52" s="64">
        <f t="shared" si="20"/>
        <v>0</v>
      </c>
      <c r="Q52" s="65">
        <f t="shared" si="4"/>
        <v>0</v>
      </c>
      <c r="R52" s="173"/>
      <c r="S52" s="170">
        <f t="shared" si="24"/>
        <v>0</v>
      </c>
      <c r="T52" s="169">
        <f t="shared" si="25"/>
        <v>0</v>
      </c>
    </row>
    <row r="53" spans="1:20" s="7" customFormat="1" x14ac:dyDescent="0.25">
      <c r="A53" s="131">
        <f>IF(J53&lt;&gt;"",1+MAX($A$19:A52),"")</f>
        <v>27</v>
      </c>
      <c r="B53" s="53"/>
      <c r="C53" s="53"/>
      <c r="D53" s="106" t="s">
        <v>44</v>
      </c>
      <c r="E53" s="183" t="s">
        <v>45</v>
      </c>
      <c r="F53" s="177" t="s">
        <v>791</v>
      </c>
      <c r="G53" s="54">
        <v>1</v>
      </c>
      <c r="H53" s="55">
        <f>IF(VLOOKUP(J53,'HOURLY RATES'!B$116:C$124,2,0)=0,$J$3,VLOOKUP(J53,'HOURLY RATES'!B$116:C$124,2,0))</f>
        <v>0</v>
      </c>
      <c r="I53" s="56">
        <f t="shared" si="21"/>
        <v>1</v>
      </c>
      <c r="J53" s="105" t="s">
        <v>224</v>
      </c>
      <c r="K53" s="394"/>
      <c r="L53" s="63">
        <f t="shared" si="22"/>
        <v>0</v>
      </c>
      <c r="M53" s="61">
        <f>IF(VLOOKUP(E53,'HOURLY RATES'!C$6:D$105,2,0)=0,$E$3,VLOOKUP(E53,'HOURLY RATES'!C$6:D$105,2,0))</f>
        <v>60</v>
      </c>
      <c r="N53" s="61">
        <f t="shared" si="23"/>
        <v>0</v>
      </c>
      <c r="O53" s="64"/>
      <c r="P53" s="64">
        <f t="shared" si="20"/>
        <v>0</v>
      </c>
      <c r="Q53" s="65">
        <f t="shared" si="4"/>
        <v>0</v>
      </c>
      <c r="R53" s="173"/>
      <c r="S53" s="170">
        <f t="shared" si="24"/>
        <v>0</v>
      </c>
      <c r="T53" s="169">
        <f t="shared" si="25"/>
        <v>0</v>
      </c>
    </row>
    <row r="54" spans="1:20" s="7" customFormat="1" x14ac:dyDescent="0.25">
      <c r="A54" s="131">
        <f>IF(J54&lt;&gt;"",1+MAX($A$19:A53),"")</f>
        <v>28</v>
      </c>
      <c r="B54" s="53"/>
      <c r="C54" s="53"/>
      <c r="D54" s="106" t="s">
        <v>44</v>
      </c>
      <c r="E54" s="183" t="s">
        <v>45</v>
      </c>
      <c r="F54" s="177" t="s">
        <v>239</v>
      </c>
      <c r="G54" s="54">
        <v>1</v>
      </c>
      <c r="H54" s="55">
        <f>IF(VLOOKUP(J54,'HOURLY RATES'!B$116:C$124,2,0)=0,$J$3,VLOOKUP(J54,'HOURLY RATES'!B$116:C$124,2,0))</f>
        <v>0</v>
      </c>
      <c r="I54" s="56">
        <f t="shared" si="21"/>
        <v>1</v>
      </c>
      <c r="J54" s="105" t="s">
        <v>224</v>
      </c>
      <c r="K54" s="394"/>
      <c r="L54" s="63">
        <f t="shared" si="22"/>
        <v>0</v>
      </c>
      <c r="M54" s="61">
        <f>IF(VLOOKUP(E54,'HOURLY RATES'!C$6:D$105,2,0)=0,$E$3,VLOOKUP(E54,'HOURLY RATES'!C$6:D$105,2,0))</f>
        <v>60</v>
      </c>
      <c r="N54" s="61">
        <f t="shared" si="23"/>
        <v>0</v>
      </c>
      <c r="O54" s="64"/>
      <c r="P54" s="64">
        <f t="shared" si="20"/>
        <v>0</v>
      </c>
      <c r="Q54" s="65">
        <f t="shared" si="4"/>
        <v>0</v>
      </c>
      <c r="R54" s="173"/>
      <c r="S54" s="170">
        <f t="shared" si="24"/>
        <v>0</v>
      </c>
      <c r="T54" s="169">
        <f t="shared" si="25"/>
        <v>0</v>
      </c>
    </row>
    <row r="55" spans="1:20" s="7" customFormat="1" x14ac:dyDescent="0.25">
      <c r="A55" s="131" t="str">
        <f>IF(J55&lt;&gt;"",1+MAX($A$19:A54),"")</f>
        <v/>
      </c>
      <c r="B55" s="53"/>
      <c r="C55" s="53"/>
      <c r="D55" s="106"/>
      <c r="E55" s="183"/>
      <c r="F55" s="177" t="s">
        <v>248</v>
      </c>
      <c r="G55" s="54"/>
      <c r="H55" s="55"/>
      <c r="I55" s="56"/>
      <c r="J55" s="105"/>
      <c r="K55" s="394"/>
      <c r="L55" s="60"/>
      <c r="M55" s="61"/>
      <c r="N55" s="61"/>
      <c r="O55" s="64"/>
      <c r="P55" s="64"/>
      <c r="Q55" s="65"/>
      <c r="R55" s="173"/>
      <c r="S55" s="170"/>
      <c r="T55" s="169"/>
    </row>
    <row r="56" spans="1:20" s="7" customFormat="1" x14ac:dyDescent="0.25">
      <c r="A56" s="131" t="str">
        <f>IF(J56&lt;&gt;"",1+MAX($A$19:A55),"")</f>
        <v/>
      </c>
      <c r="B56" s="53"/>
      <c r="C56" s="53"/>
      <c r="D56" s="106"/>
      <c r="E56" s="183"/>
      <c r="F56" s="176" t="s">
        <v>792</v>
      </c>
      <c r="G56" s="54"/>
      <c r="H56" s="55"/>
      <c r="I56" s="56"/>
      <c r="J56" s="105"/>
      <c r="K56" s="394"/>
      <c r="L56" s="60"/>
      <c r="M56" s="61"/>
      <c r="N56" s="61"/>
      <c r="O56" s="64"/>
      <c r="P56" s="64"/>
      <c r="Q56" s="65"/>
      <c r="R56" s="173"/>
      <c r="S56" s="170"/>
      <c r="T56" s="169"/>
    </row>
    <row r="57" spans="1:20" s="7" customFormat="1" x14ac:dyDescent="0.25">
      <c r="A57" s="131">
        <f>IF(J57&lt;&gt;"",1+MAX($A$19:A56),"")</f>
        <v>29</v>
      </c>
      <c r="B57" s="53"/>
      <c r="C57" s="66"/>
      <c r="D57" s="106" t="s">
        <v>44</v>
      </c>
      <c r="E57" s="183" t="s">
        <v>45</v>
      </c>
      <c r="F57" s="177" t="s">
        <v>240</v>
      </c>
      <c r="G57" s="54">
        <v>1</v>
      </c>
      <c r="H57" s="55">
        <f>IF(VLOOKUP(J57,'HOURLY RATES'!B$116:C$124,2,0)=0,$J$3,VLOOKUP(J57,'HOURLY RATES'!B$116:C$124,2,0))</f>
        <v>0</v>
      </c>
      <c r="I57" s="56">
        <f t="shared" ref="I57:I60" si="26">(G57*(1+H57))</f>
        <v>1</v>
      </c>
      <c r="J57" s="105" t="s">
        <v>224</v>
      </c>
      <c r="K57" s="394"/>
      <c r="L57" s="63">
        <f t="shared" ref="L57:L60" si="27">K57*I57</f>
        <v>0</v>
      </c>
      <c r="M57" s="61">
        <f>IF(VLOOKUP(E57,'HOURLY RATES'!C$6:D$105,2,0)=0,$E$3,VLOOKUP(E57,'HOURLY RATES'!C$6:D$105,2,0))</f>
        <v>60</v>
      </c>
      <c r="N57" s="61">
        <f t="shared" ref="N57:N60" si="28">M57*L57</f>
        <v>0</v>
      </c>
      <c r="O57" s="64"/>
      <c r="P57" s="64">
        <f t="shared" ref="P57:P60" si="29">O57*I57</f>
        <v>0</v>
      </c>
      <c r="Q57" s="65">
        <f t="shared" si="4"/>
        <v>0</v>
      </c>
      <c r="R57" s="173"/>
      <c r="S57" s="170">
        <f t="shared" ref="S57:S60" si="30">((((N57*(1+$D$7))+(P57*(1+$D$5+$D$6)))*(1+$D$8)))/I57</f>
        <v>0</v>
      </c>
      <c r="T57" s="169">
        <f t="shared" ref="T57:T60" si="31">S57*I57</f>
        <v>0</v>
      </c>
    </row>
    <row r="58" spans="1:20" s="7" customFormat="1" x14ac:dyDescent="0.25">
      <c r="A58" s="131">
        <f>IF(J58&lt;&gt;"",1+MAX($A$19:A57),"")</f>
        <v>30</v>
      </c>
      <c r="B58" s="53"/>
      <c r="C58" s="66"/>
      <c r="D58" s="106" t="s">
        <v>44</v>
      </c>
      <c r="E58" s="183" t="s">
        <v>45</v>
      </c>
      <c r="F58" s="177" t="s">
        <v>241</v>
      </c>
      <c r="G58" s="54">
        <v>1</v>
      </c>
      <c r="H58" s="55">
        <f>IF(VLOOKUP(J58,'HOURLY RATES'!B$116:C$124,2,0)=0,$J$3,VLOOKUP(J58,'HOURLY RATES'!B$116:C$124,2,0))</f>
        <v>0</v>
      </c>
      <c r="I58" s="56">
        <f t="shared" si="26"/>
        <v>1</v>
      </c>
      <c r="J58" s="105" t="s">
        <v>224</v>
      </c>
      <c r="K58" s="394"/>
      <c r="L58" s="63">
        <f t="shared" si="27"/>
        <v>0</v>
      </c>
      <c r="M58" s="61">
        <f>IF(VLOOKUP(E58,'HOURLY RATES'!C$6:D$105,2,0)=0,$E$3,VLOOKUP(E58,'HOURLY RATES'!C$6:D$105,2,0))</f>
        <v>60</v>
      </c>
      <c r="N58" s="61">
        <f t="shared" si="28"/>
        <v>0</v>
      </c>
      <c r="O58" s="64"/>
      <c r="P58" s="64">
        <f t="shared" si="29"/>
        <v>0</v>
      </c>
      <c r="Q58" s="65">
        <f t="shared" si="4"/>
        <v>0</v>
      </c>
      <c r="R58" s="173"/>
      <c r="S58" s="170">
        <f t="shared" si="30"/>
        <v>0</v>
      </c>
      <c r="T58" s="169">
        <f t="shared" si="31"/>
        <v>0</v>
      </c>
    </row>
    <row r="59" spans="1:20" s="7" customFormat="1" x14ac:dyDescent="0.25">
      <c r="A59" s="131">
        <f>IF(J59&lt;&gt;"",1+MAX($A$19:A58),"")</f>
        <v>31</v>
      </c>
      <c r="B59" s="53"/>
      <c r="C59" s="66"/>
      <c r="D59" s="106" t="s">
        <v>44</v>
      </c>
      <c r="E59" s="183" t="s">
        <v>45</v>
      </c>
      <c r="F59" s="177" t="s">
        <v>793</v>
      </c>
      <c r="G59" s="54">
        <v>1</v>
      </c>
      <c r="H59" s="55">
        <f>IF(VLOOKUP(J59,'HOURLY RATES'!B$116:C$124,2,0)=0,$J$3,VLOOKUP(J59,'HOURLY RATES'!B$116:C$124,2,0))</f>
        <v>0</v>
      </c>
      <c r="I59" s="56">
        <f t="shared" si="26"/>
        <v>1</v>
      </c>
      <c r="J59" s="105" t="s">
        <v>224</v>
      </c>
      <c r="K59" s="394"/>
      <c r="L59" s="63">
        <f t="shared" si="27"/>
        <v>0</v>
      </c>
      <c r="M59" s="61">
        <f>IF(VLOOKUP(E59,'HOURLY RATES'!C$6:D$105,2,0)=0,$E$3,VLOOKUP(E59,'HOURLY RATES'!C$6:D$105,2,0))</f>
        <v>60</v>
      </c>
      <c r="N59" s="61">
        <f t="shared" si="28"/>
        <v>0</v>
      </c>
      <c r="O59" s="64"/>
      <c r="P59" s="64">
        <f t="shared" si="29"/>
        <v>0</v>
      </c>
      <c r="Q59" s="65">
        <f t="shared" si="4"/>
        <v>0</v>
      </c>
      <c r="R59" s="173"/>
      <c r="S59" s="170">
        <f t="shared" si="30"/>
        <v>0</v>
      </c>
      <c r="T59" s="169">
        <f t="shared" si="31"/>
        <v>0</v>
      </c>
    </row>
    <row r="60" spans="1:20" s="7" customFormat="1" x14ac:dyDescent="0.25">
      <c r="A60" s="131">
        <f>IF(J60&lt;&gt;"",1+MAX($A$19:A59),"")</f>
        <v>32</v>
      </c>
      <c r="B60" s="53"/>
      <c r="C60" s="66"/>
      <c r="D60" s="106" t="s">
        <v>44</v>
      </c>
      <c r="E60" s="183" t="s">
        <v>45</v>
      </c>
      <c r="F60" s="177" t="s">
        <v>242</v>
      </c>
      <c r="G60" s="54">
        <v>1</v>
      </c>
      <c r="H60" s="55">
        <f>IF(VLOOKUP(J60,'HOURLY RATES'!B$116:C$124,2,0)=0,$J$3,VLOOKUP(J60,'HOURLY RATES'!B$116:C$124,2,0))</f>
        <v>0</v>
      </c>
      <c r="I60" s="56">
        <f t="shared" si="26"/>
        <v>1</v>
      </c>
      <c r="J60" s="105" t="s">
        <v>224</v>
      </c>
      <c r="K60" s="394"/>
      <c r="L60" s="63">
        <f t="shared" si="27"/>
        <v>0</v>
      </c>
      <c r="M60" s="61">
        <f>IF(VLOOKUP(E60,'HOURLY RATES'!C$6:D$105,2,0)=0,$E$3,VLOOKUP(E60,'HOURLY RATES'!C$6:D$105,2,0))</f>
        <v>60</v>
      </c>
      <c r="N60" s="61">
        <f t="shared" si="28"/>
        <v>0</v>
      </c>
      <c r="O60" s="64"/>
      <c r="P60" s="64">
        <f t="shared" si="29"/>
        <v>0</v>
      </c>
      <c r="Q60" s="65">
        <f t="shared" si="4"/>
        <v>0</v>
      </c>
      <c r="R60" s="173"/>
      <c r="S60" s="170">
        <f t="shared" si="30"/>
        <v>0</v>
      </c>
      <c r="T60" s="169">
        <f t="shared" si="31"/>
        <v>0</v>
      </c>
    </row>
    <row r="61" spans="1:20" s="7" customFormat="1" x14ac:dyDescent="0.25">
      <c r="A61" s="131" t="str">
        <f>IF(J61&lt;&gt;"",1+MAX($A$19:A60),"")</f>
        <v/>
      </c>
      <c r="B61" s="53"/>
      <c r="C61" s="66"/>
      <c r="D61" s="106"/>
      <c r="E61" s="183"/>
      <c r="F61" s="177" t="s">
        <v>248</v>
      </c>
      <c r="G61" s="54"/>
      <c r="H61" s="55"/>
      <c r="I61" s="56"/>
      <c r="J61" s="105"/>
      <c r="K61" s="394"/>
      <c r="L61" s="60"/>
      <c r="M61" s="61"/>
      <c r="N61" s="61"/>
      <c r="O61" s="64"/>
      <c r="P61" s="64"/>
      <c r="Q61" s="65"/>
      <c r="R61" s="173"/>
      <c r="S61" s="170"/>
      <c r="T61" s="169"/>
    </row>
    <row r="62" spans="1:20" s="7" customFormat="1" x14ac:dyDescent="0.25">
      <c r="A62" s="131" t="str">
        <f>IF(J62&lt;&gt;"",1+MAX($A$19:A61),"")</f>
        <v/>
      </c>
      <c r="B62" s="53"/>
      <c r="C62" s="66"/>
      <c r="D62" s="106"/>
      <c r="E62" s="183"/>
      <c r="F62" s="176" t="s">
        <v>243</v>
      </c>
      <c r="G62" s="54"/>
      <c r="H62" s="55"/>
      <c r="I62" s="56"/>
      <c r="J62" s="105"/>
      <c r="K62" s="394"/>
      <c r="L62" s="60"/>
      <c r="M62" s="61"/>
      <c r="N62" s="61"/>
      <c r="O62" s="64"/>
      <c r="P62" s="64"/>
      <c r="Q62" s="65"/>
      <c r="R62" s="173"/>
      <c r="S62" s="170"/>
      <c r="T62" s="169"/>
    </row>
    <row r="63" spans="1:20" s="7" customFormat="1" x14ac:dyDescent="0.25">
      <c r="A63" s="131">
        <f>IF(J63&lt;&gt;"",1+MAX($A$19:A62),"")</f>
        <v>33</v>
      </c>
      <c r="B63" s="53"/>
      <c r="C63" s="66"/>
      <c r="D63" s="106" t="s">
        <v>44</v>
      </c>
      <c r="E63" s="183" t="s">
        <v>45</v>
      </c>
      <c r="F63" s="177" t="s">
        <v>244</v>
      </c>
      <c r="G63" s="54">
        <v>1</v>
      </c>
      <c r="H63" s="55">
        <f>IF(VLOOKUP(J63,'HOURLY RATES'!B$116:C$124,2,0)=0,$J$3,VLOOKUP(J63,'HOURLY RATES'!B$116:C$124,2,0))</f>
        <v>0</v>
      </c>
      <c r="I63" s="56">
        <f t="shared" ref="I63:I65" si="32">(G63*(1+H63))</f>
        <v>1</v>
      </c>
      <c r="J63" s="105" t="s">
        <v>224</v>
      </c>
      <c r="K63" s="394"/>
      <c r="L63" s="63">
        <f t="shared" ref="L63:L65" si="33">K63*I63</f>
        <v>0</v>
      </c>
      <c r="M63" s="61">
        <f>IF(VLOOKUP(E63,'HOURLY RATES'!C$6:D$105,2,0)=0,$E$3,VLOOKUP(E63,'HOURLY RATES'!C$6:D$105,2,0))</f>
        <v>60</v>
      </c>
      <c r="N63" s="61">
        <f t="shared" ref="N63:N65" si="34">M63*L63</f>
        <v>0</v>
      </c>
      <c r="O63" s="64"/>
      <c r="P63" s="64">
        <f t="shared" ref="P63:P65" si="35">O63*I63</f>
        <v>0</v>
      </c>
      <c r="Q63" s="65">
        <f t="shared" si="4"/>
        <v>0</v>
      </c>
      <c r="R63" s="173"/>
      <c r="S63" s="170">
        <f t="shared" ref="S63:S65" si="36">((((N63*(1+$D$7))+(P63*(1+$D$5+$D$6)))*(1+$D$8)))/I63</f>
        <v>0</v>
      </c>
      <c r="T63" s="169">
        <f t="shared" ref="T63:T65" si="37">S63*I63</f>
        <v>0</v>
      </c>
    </row>
    <row r="64" spans="1:20" s="7" customFormat="1" x14ac:dyDescent="0.25">
      <c r="A64" s="131">
        <f>IF(J64&lt;&gt;"",1+MAX($A$19:A63),"")</f>
        <v>34</v>
      </c>
      <c r="B64" s="53"/>
      <c r="C64" s="66"/>
      <c r="D64" s="106" t="s">
        <v>44</v>
      </c>
      <c r="E64" s="183" t="s">
        <v>45</v>
      </c>
      <c r="F64" s="177" t="s">
        <v>245</v>
      </c>
      <c r="G64" s="54">
        <v>1</v>
      </c>
      <c r="H64" s="55">
        <f>IF(VLOOKUP(J64,'HOURLY RATES'!B$116:C$124,2,0)=0,$J$3,VLOOKUP(J64,'HOURLY RATES'!B$116:C$124,2,0))</f>
        <v>0</v>
      </c>
      <c r="I64" s="56">
        <f t="shared" si="32"/>
        <v>1</v>
      </c>
      <c r="J64" s="105" t="s">
        <v>224</v>
      </c>
      <c r="K64" s="394"/>
      <c r="L64" s="63">
        <f t="shared" si="33"/>
        <v>0</v>
      </c>
      <c r="M64" s="61">
        <f>IF(VLOOKUP(E64,'HOURLY RATES'!C$6:D$105,2,0)=0,$E$3,VLOOKUP(E64,'HOURLY RATES'!C$6:D$105,2,0))</f>
        <v>60</v>
      </c>
      <c r="N64" s="61">
        <f t="shared" si="34"/>
        <v>0</v>
      </c>
      <c r="O64" s="64"/>
      <c r="P64" s="64">
        <f t="shared" si="35"/>
        <v>0</v>
      </c>
      <c r="Q64" s="65">
        <f t="shared" si="4"/>
        <v>0</v>
      </c>
      <c r="R64" s="173"/>
      <c r="S64" s="170">
        <f t="shared" si="36"/>
        <v>0</v>
      </c>
      <c r="T64" s="169">
        <f t="shared" si="37"/>
        <v>0</v>
      </c>
    </row>
    <row r="65" spans="1:21" s="7" customFormat="1" x14ac:dyDescent="0.25">
      <c r="A65" s="131">
        <f>IF(J65&lt;&gt;"",1+MAX($A$19:A64),"")</f>
        <v>35</v>
      </c>
      <c r="B65" s="53"/>
      <c r="C65" s="66"/>
      <c r="D65" s="106" t="s">
        <v>44</v>
      </c>
      <c r="E65" s="183" t="s">
        <v>45</v>
      </c>
      <c r="F65" s="177" t="s">
        <v>246</v>
      </c>
      <c r="G65" s="54">
        <v>1</v>
      </c>
      <c r="H65" s="55">
        <f>IF(VLOOKUP(J65,'HOURLY RATES'!B$116:C$124,2,0)=0,$J$3,VLOOKUP(J65,'HOURLY RATES'!B$116:C$124,2,0))</f>
        <v>0</v>
      </c>
      <c r="I65" s="56">
        <f t="shared" si="32"/>
        <v>1</v>
      </c>
      <c r="J65" s="105" t="s">
        <v>224</v>
      </c>
      <c r="K65" s="394"/>
      <c r="L65" s="63">
        <f t="shared" si="33"/>
        <v>0</v>
      </c>
      <c r="M65" s="61">
        <f>IF(VLOOKUP(E65,'HOURLY RATES'!C$6:D$105,2,0)=0,$E$3,VLOOKUP(E65,'HOURLY RATES'!C$6:D$105,2,0))</f>
        <v>60</v>
      </c>
      <c r="N65" s="61">
        <f t="shared" si="34"/>
        <v>0</v>
      </c>
      <c r="O65" s="64"/>
      <c r="P65" s="64">
        <f t="shared" si="35"/>
        <v>0</v>
      </c>
      <c r="Q65" s="65">
        <f t="shared" si="4"/>
        <v>0</v>
      </c>
      <c r="R65" s="173"/>
      <c r="S65" s="170">
        <f t="shared" si="36"/>
        <v>0</v>
      </c>
      <c r="T65" s="169">
        <f t="shared" si="37"/>
        <v>0</v>
      </c>
    </row>
    <row r="66" spans="1:21" s="7" customFormat="1" x14ac:dyDescent="0.25">
      <c r="A66" s="131" t="str">
        <f>IF(J66&lt;&gt;"",1+MAX($A$19:A65),"")</f>
        <v/>
      </c>
      <c r="B66" s="53"/>
      <c r="C66" s="66"/>
      <c r="D66" s="106"/>
      <c r="E66" s="183"/>
      <c r="F66" s="177" t="s">
        <v>248</v>
      </c>
      <c r="G66" s="54"/>
      <c r="H66" s="55"/>
      <c r="I66" s="56"/>
      <c r="J66" s="105"/>
      <c r="K66" s="394"/>
      <c r="L66" s="60"/>
      <c r="M66" s="61"/>
      <c r="N66" s="61"/>
      <c r="O66" s="64"/>
      <c r="P66" s="64"/>
      <c r="Q66" s="65"/>
      <c r="R66" s="173"/>
      <c r="S66" s="170"/>
      <c r="T66" s="169"/>
    </row>
    <row r="67" spans="1:21" s="7" customFormat="1" x14ac:dyDescent="0.25">
      <c r="A67" s="131" t="str">
        <f>IF(J67&lt;&gt;"",1+MAX($A$19:A66),"")</f>
        <v/>
      </c>
      <c r="B67" s="53"/>
      <c r="C67" s="66"/>
      <c r="D67" s="106"/>
      <c r="E67" s="183"/>
      <c r="F67" s="176" t="s">
        <v>247</v>
      </c>
      <c r="G67" s="54"/>
      <c r="H67" s="55"/>
      <c r="I67" s="56"/>
      <c r="J67" s="105"/>
      <c r="K67" s="394"/>
      <c r="L67" s="63"/>
      <c r="M67" s="61"/>
      <c r="N67" s="61"/>
      <c r="O67" s="64"/>
      <c r="P67" s="64"/>
      <c r="Q67" s="65"/>
      <c r="R67" s="173"/>
      <c r="S67" s="170"/>
      <c r="T67" s="169"/>
    </row>
    <row r="68" spans="1:21" s="7" customFormat="1" x14ac:dyDescent="0.25">
      <c r="A68" s="131">
        <f>IF(J68&lt;&gt;"",1+MAX($A$19:A67),"")</f>
        <v>36</v>
      </c>
      <c r="B68" s="53"/>
      <c r="C68" s="66"/>
      <c r="D68" s="106" t="s">
        <v>44</v>
      </c>
      <c r="E68" s="183" t="s">
        <v>45</v>
      </c>
      <c r="F68" s="177" t="s">
        <v>247</v>
      </c>
      <c r="G68" s="54">
        <v>1</v>
      </c>
      <c r="H68" s="55">
        <f>IF(VLOOKUP(J68,'HOURLY RATES'!B$116:C$124,2,0)=0,$J$3,VLOOKUP(J68,'HOURLY RATES'!B$116:C$124,2,0))</f>
        <v>0</v>
      </c>
      <c r="I68" s="56">
        <f>(G68*(1+H68))</f>
        <v>1</v>
      </c>
      <c r="J68" s="105" t="s">
        <v>224</v>
      </c>
      <c r="K68" s="394">
        <f>3.5%*($S$18)/M68</f>
        <v>704.11040200054163</v>
      </c>
      <c r="L68" s="63">
        <f t="shared" ref="L68" si="38">K68*I68</f>
        <v>704.11040200054163</v>
      </c>
      <c r="M68" s="61">
        <f>IF(VLOOKUP(E68,'HOURLY RATES'!C$6:D$105,2,0)=0,$E$3,VLOOKUP(E68,'HOURLY RATES'!C$6:D$105,2,0))</f>
        <v>60</v>
      </c>
      <c r="N68" s="61">
        <f t="shared" ref="N68" si="39">M68*L68</f>
        <v>42246.624120032495</v>
      </c>
      <c r="O68" s="64"/>
      <c r="P68" s="64">
        <f t="shared" ref="P68" si="40">O68*I68</f>
        <v>0</v>
      </c>
      <c r="Q68" s="65">
        <f t="shared" ref="Q68" si="41">P68+N68</f>
        <v>42246.624120032495</v>
      </c>
      <c r="R68" s="173"/>
      <c r="S68" s="170">
        <f>((((N68*(1+$D$7))+(P68*(1+$D$5+$D$6)))*(1+$D$8)))/I68</f>
        <v>51456.388178199573</v>
      </c>
      <c r="T68" s="169">
        <f>S68*I68</f>
        <v>51456.388178199573</v>
      </c>
    </row>
    <row r="69" spans="1:21" s="7" customFormat="1" x14ac:dyDescent="0.25">
      <c r="A69" s="131" t="str">
        <f>IF(J69&lt;&gt;"",1+MAX($A$19:A68),"")</f>
        <v/>
      </c>
      <c r="B69" s="53"/>
      <c r="C69" s="66"/>
      <c r="D69" s="106"/>
      <c r="E69" s="183"/>
      <c r="F69" s="177" t="s">
        <v>248</v>
      </c>
      <c r="G69" s="54"/>
      <c r="H69" s="55"/>
      <c r="I69" s="56"/>
      <c r="J69" s="105"/>
      <c r="K69" s="394"/>
      <c r="L69" s="63"/>
      <c r="M69" s="61"/>
      <c r="N69" s="61"/>
      <c r="O69" s="64"/>
      <c r="P69" s="64"/>
      <c r="Q69" s="65"/>
      <c r="R69" s="173"/>
      <c r="S69" s="170"/>
      <c r="T69" s="169"/>
    </row>
    <row r="70" spans="1:21" s="7" customFormat="1" x14ac:dyDescent="0.25">
      <c r="A70" s="216" t="str">
        <f>IF(J70&lt;&gt;"",1+MAX($A$19:A69),"")</f>
        <v/>
      </c>
      <c r="B70" s="216"/>
      <c r="C70" s="216"/>
      <c r="D70" s="216" t="s">
        <v>46</v>
      </c>
      <c r="E70" s="217"/>
      <c r="F70" s="218" t="s">
        <v>803</v>
      </c>
      <c r="G70" s="219"/>
      <c r="H70" s="218"/>
      <c r="I70" s="220"/>
      <c r="J70" s="220"/>
      <c r="K70" s="218"/>
      <c r="L70" s="218"/>
      <c r="M70" s="218"/>
      <c r="N70" s="218"/>
      <c r="O70" s="218"/>
      <c r="P70" s="218"/>
      <c r="Q70" s="218"/>
      <c r="R70" s="221">
        <f>SUM(Q71:Q75)</f>
        <v>1857.82</v>
      </c>
      <c r="S70" s="168"/>
      <c r="T70" s="169"/>
      <c r="U70" s="13"/>
    </row>
    <row r="71" spans="1:21" s="7" customFormat="1" x14ac:dyDescent="0.25">
      <c r="A71" s="131" t="str">
        <f>IF(J71&lt;&gt;"",1+MAX($A$19:A70),"")</f>
        <v/>
      </c>
      <c r="B71" s="108"/>
      <c r="C71" s="109"/>
      <c r="D71" s="106"/>
      <c r="E71" s="184"/>
      <c r="F71" s="179" t="s">
        <v>248</v>
      </c>
      <c r="G71" s="110"/>
      <c r="H71" s="111"/>
      <c r="I71" s="112"/>
      <c r="J71" s="105"/>
      <c r="K71" s="394"/>
      <c r="L71" s="395"/>
      <c r="M71" s="396"/>
      <c r="N71" s="396"/>
      <c r="O71" s="397"/>
      <c r="P71" s="397"/>
      <c r="Q71" s="398"/>
      <c r="R71" s="132"/>
      <c r="S71" s="170"/>
      <c r="T71" s="169"/>
    </row>
    <row r="72" spans="1:21" s="7" customFormat="1" ht="18" x14ac:dyDescent="0.25">
      <c r="A72" s="131" t="str">
        <f>IF(J72&lt;&gt;"",1+MAX($A$19:A71),"")</f>
        <v/>
      </c>
      <c r="B72" s="108"/>
      <c r="C72" s="109"/>
      <c r="D72" s="106"/>
      <c r="E72" s="184"/>
      <c r="F72" s="178" t="s">
        <v>804</v>
      </c>
      <c r="G72" s="110"/>
      <c r="H72" s="111"/>
      <c r="I72" s="112"/>
      <c r="J72" s="105"/>
      <c r="K72" s="394"/>
      <c r="L72" s="395"/>
      <c r="M72" s="396"/>
      <c r="N72" s="396"/>
      <c r="O72" s="397"/>
      <c r="P72" s="397"/>
      <c r="Q72" s="398"/>
      <c r="R72" s="132"/>
      <c r="S72" s="170"/>
      <c r="T72" s="169"/>
    </row>
    <row r="73" spans="1:21" s="7" customFormat="1" ht="18.600000000000001" customHeight="1" x14ac:dyDescent="0.25">
      <c r="A73" s="131">
        <f>IF(J73&lt;&gt;"",1+MAX($A$19:A72),"")</f>
        <v>37</v>
      </c>
      <c r="B73" s="108"/>
      <c r="C73" s="108"/>
      <c r="D73" s="106" t="s">
        <v>46</v>
      </c>
      <c r="E73" s="184" t="s">
        <v>101</v>
      </c>
      <c r="F73" s="179" t="s">
        <v>847</v>
      </c>
      <c r="G73" s="54">
        <v>6</v>
      </c>
      <c r="H73" s="111">
        <v>0</v>
      </c>
      <c r="I73" s="112">
        <f t="shared" ref="I73:I75" si="42">(G73*(1+H73))</f>
        <v>6</v>
      </c>
      <c r="J73" s="105" t="s">
        <v>251</v>
      </c>
      <c r="K73" s="394">
        <v>3</v>
      </c>
      <c r="L73" s="395">
        <f t="shared" ref="L73:L75" si="43">K73*I73</f>
        <v>18</v>
      </c>
      <c r="M73" s="396">
        <v>48.89</v>
      </c>
      <c r="N73" s="396">
        <f t="shared" ref="N73:N75" si="44">M73*L73</f>
        <v>880.02</v>
      </c>
      <c r="O73" s="397"/>
      <c r="P73" s="397">
        <f t="shared" ref="P73:P75" si="45">O73*I73</f>
        <v>0</v>
      </c>
      <c r="Q73" s="398">
        <f t="shared" ref="Q73:Q75" si="46">P73+N73</f>
        <v>880.02</v>
      </c>
      <c r="R73" s="132"/>
      <c r="S73" s="170">
        <f t="shared" ref="S73:S75" si="47">((((N73*(1+$D$7))+(P73*(1+$D$5+$D$6)))*(1+$D$8)))/I73</f>
        <v>178.64405999999997</v>
      </c>
      <c r="T73" s="169">
        <f t="shared" ref="T73:T75" si="48">S73*I73</f>
        <v>1071.8643599999998</v>
      </c>
    </row>
    <row r="74" spans="1:21" s="7" customFormat="1" x14ac:dyDescent="0.25">
      <c r="A74" s="131">
        <f>IF(J74&lt;&gt;"",1+MAX($A$19:A73),"")</f>
        <v>38</v>
      </c>
      <c r="B74" s="108"/>
      <c r="C74" s="108"/>
      <c r="D74" s="106" t="s">
        <v>46</v>
      </c>
      <c r="E74" s="184" t="s">
        <v>101</v>
      </c>
      <c r="F74" s="179" t="s">
        <v>848</v>
      </c>
      <c r="G74" s="54">
        <v>6</v>
      </c>
      <c r="H74" s="111">
        <v>0</v>
      </c>
      <c r="I74" s="112">
        <f t="shared" ref="I74" si="49">(G74*(1+H74))</f>
        <v>6</v>
      </c>
      <c r="J74" s="105" t="s">
        <v>251</v>
      </c>
      <c r="K74" s="394">
        <v>3</v>
      </c>
      <c r="L74" s="395">
        <f t="shared" ref="L74" si="50">K74*I74</f>
        <v>18</v>
      </c>
      <c r="M74" s="396">
        <v>48.89</v>
      </c>
      <c r="N74" s="396">
        <f t="shared" ref="N74" si="51">M74*L74</f>
        <v>880.02</v>
      </c>
      <c r="O74" s="397"/>
      <c r="P74" s="397">
        <f t="shared" ref="P74" si="52">O74*I74</f>
        <v>0</v>
      </c>
      <c r="Q74" s="398">
        <f t="shared" ref="Q74" si="53">P74+N74</f>
        <v>880.02</v>
      </c>
      <c r="R74" s="132"/>
      <c r="S74" s="170">
        <f t="shared" ref="S74" si="54">((((N74*(1+$D$7))+(P74*(1+$D$5+$D$6)))*(1+$D$8)))/I74</f>
        <v>178.64405999999997</v>
      </c>
      <c r="T74" s="169">
        <f t="shared" ref="T74" si="55">S74*I74</f>
        <v>1071.8643599999998</v>
      </c>
    </row>
    <row r="75" spans="1:21" s="7" customFormat="1" x14ac:dyDescent="0.25">
      <c r="A75" s="131">
        <f>IF(J75&lt;&gt;"",1+MAX($A$19:A74),"")</f>
        <v>39</v>
      </c>
      <c r="B75" s="108"/>
      <c r="C75" s="108"/>
      <c r="D75" s="106" t="s">
        <v>46</v>
      </c>
      <c r="E75" s="184" t="s">
        <v>101</v>
      </c>
      <c r="F75" s="179" t="s">
        <v>849</v>
      </c>
      <c r="G75" s="54">
        <v>1</v>
      </c>
      <c r="H75" s="111">
        <v>0</v>
      </c>
      <c r="I75" s="112">
        <f t="shared" si="42"/>
        <v>1</v>
      </c>
      <c r="J75" s="105" t="s">
        <v>251</v>
      </c>
      <c r="K75" s="394">
        <v>2</v>
      </c>
      <c r="L75" s="395">
        <f t="shared" si="43"/>
        <v>2</v>
      </c>
      <c r="M75" s="396">
        <v>48.89</v>
      </c>
      <c r="N75" s="396">
        <f t="shared" si="44"/>
        <v>97.78</v>
      </c>
      <c r="O75" s="397"/>
      <c r="P75" s="397">
        <f t="shared" si="45"/>
        <v>0</v>
      </c>
      <c r="Q75" s="398">
        <f t="shared" si="46"/>
        <v>97.78</v>
      </c>
      <c r="R75" s="132"/>
      <c r="S75" s="170">
        <f t="shared" si="47"/>
        <v>119.09603999999999</v>
      </c>
      <c r="T75" s="169">
        <f t="shared" si="48"/>
        <v>119.09603999999999</v>
      </c>
    </row>
    <row r="76" spans="1:21" s="7" customFormat="1" x14ac:dyDescent="0.25">
      <c r="A76" s="131" t="str">
        <f>IF(J76&lt;&gt;"",1+MAX($A$19:A75),"")</f>
        <v/>
      </c>
      <c r="B76" s="108"/>
      <c r="C76" s="109"/>
      <c r="D76" s="106"/>
      <c r="E76" s="184"/>
      <c r="F76" s="179"/>
      <c r="G76" s="110"/>
      <c r="H76" s="299"/>
      <c r="I76" s="112"/>
      <c r="J76" s="105"/>
      <c r="K76" s="394"/>
      <c r="L76" s="395"/>
      <c r="M76" s="396"/>
      <c r="N76" s="396"/>
      <c r="O76" s="397"/>
      <c r="P76" s="397"/>
      <c r="Q76" s="398"/>
      <c r="R76" s="132"/>
      <c r="S76" s="170"/>
      <c r="T76" s="169"/>
    </row>
    <row r="77" spans="1:21" s="7" customFormat="1" x14ac:dyDescent="0.25">
      <c r="A77" s="216" t="str">
        <f>IF(J77&lt;&gt;"",1+MAX($A$19:A76),"")</f>
        <v/>
      </c>
      <c r="B77" s="216"/>
      <c r="C77" s="216"/>
      <c r="D77" s="216" t="s">
        <v>65</v>
      </c>
      <c r="E77" s="217"/>
      <c r="F77" s="218" t="s">
        <v>66</v>
      </c>
      <c r="G77" s="219"/>
      <c r="H77" s="218"/>
      <c r="I77" s="220"/>
      <c r="J77" s="220"/>
      <c r="K77" s="218"/>
      <c r="L77" s="218"/>
      <c r="M77" s="218"/>
      <c r="N77" s="218"/>
      <c r="O77" s="218"/>
      <c r="P77" s="218"/>
      <c r="Q77" s="218"/>
      <c r="R77" s="221">
        <f>SUM(Q79:Q308)</f>
        <v>1019412.7172294997</v>
      </c>
      <c r="S77" s="168"/>
      <c r="T77" s="169"/>
      <c r="U77" s="13"/>
    </row>
    <row r="78" spans="1:21" s="7" customFormat="1" x14ac:dyDescent="0.25">
      <c r="A78" s="131" t="str">
        <f>IF(J78&lt;&gt;"",1+MAX($A$19:A77),"")</f>
        <v/>
      </c>
      <c r="B78" s="53"/>
      <c r="C78" s="66"/>
      <c r="D78" s="106"/>
      <c r="E78" s="183"/>
      <c r="F78" s="177" t="s">
        <v>248</v>
      </c>
      <c r="G78" s="54"/>
      <c r="H78" s="55"/>
      <c r="I78" s="56"/>
      <c r="J78" s="105"/>
      <c r="K78" s="394"/>
      <c r="L78" s="60"/>
      <c r="M78" s="61"/>
      <c r="N78" s="61"/>
      <c r="O78" s="64"/>
      <c r="P78" s="64"/>
      <c r="Q78" s="65"/>
      <c r="R78" s="173"/>
      <c r="S78" s="170"/>
      <c r="T78" s="169"/>
    </row>
    <row r="79" spans="1:21" s="7" customFormat="1" ht="18" x14ac:dyDescent="0.25">
      <c r="A79" s="131" t="str">
        <f>IF(J79&lt;&gt;"",1+MAX($A$19:A78),"")</f>
        <v/>
      </c>
      <c r="B79" s="53"/>
      <c r="C79" s="66"/>
      <c r="D79" s="106"/>
      <c r="E79" s="183"/>
      <c r="F79" s="178" t="s">
        <v>761</v>
      </c>
      <c r="G79" s="54"/>
      <c r="H79" s="55"/>
      <c r="I79" s="56"/>
      <c r="J79" s="105"/>
      <c r="K79" s="394"/>
      <c r="L79" s="63"/>
      <c r="M79" s="61"/>
      <c r="N79" s="61"/>
      <c r="O79" s="64"/>
      <c r="P79" s="64"/>
      <c r="Q79" s="65"/>
      <c r="R79" s="132"/>
      <c r="S79" s="170"/>
      <c r="T79" s="169"/>
    </row>
    <row r="80" spans="1:21" s="7" customFormat="1" ht="93.6" x14ac:dyDescent="0.25">
      <c r="A80" s="131">
        <f>IF(J80&lt;&gt;"",1+MAX($A$19:A79),"")</f>
        <v>40</v>
      </c>
      <c r="B80" s="53"/>
      <c r="C80" s="53"/>
      <c r="D80" s="106" t="s">
        <v>65</v>
      </c>
      <c r="E80" s="183" t="s">
        <v>107</v>
      </c>
      <c r="F80" s="179" t="s">
        <v>850</v>
      </c>
      <c r="G80" s="54">
        <v>12</v>
      </c>
      <c r="H80" s="55">
        <f>IF(VLOOKUP(J80,'HOURLY RATES'!B$116:C$124,2,0)=0,$J$3,VLOOKUP(J80,'HOURLY RATES'!B$116:C$124,2,0))</f>
        <v>0</v>
      </c>
      <c r="I80" s="56">
        <f t="shared" ref="I80:I81" si="56">(G80*(1+H80))</f>
        <v>12</v>
      </c>
      <c r="J80" s="105" t="s">
        <v>251</v>
      </c>
      <c r="K80" s="394">
        <v>3.12</v>
      </c>
      <c r="L80" s="63">
        <f t="shared" ref="L80:L83" si="57">K80*I80</f>
        <v>37.44</v>
      </c>
      <c r="M80" s="61">
        <f>IF(VLOOKUP(E80,'HOURLY RATES'!C$6:D$105,2,0)=0,$E$3,VLOOKUP(E80,'HOURLY RATES'!C$6:D$105,2,0))</f>
        <v>60</v>
      </c>
      <c r="N80" s="61">
        <f t="shared" ref="N80:N83" si="58">M80*L80</f>
        <v>2246.3999999999996</v>
      </c>
      <c r="O80" s="64">
        <v>320</v>
      </c>
      <c r="P80" s="64">
        <f t="shared" ref="P80:P83" si="59">O80*I80</f>
        <v>3840</v>
      </c>
      <c r="Q80" s="65">
        <f t="shared" ref="Q80:Q83" si="60">P80+N80</f>
        <v>6086.4</v>
      </c>
      <c r="R80" s="132"/>
      <c r="S80" s="170">
        <f t="shared" ref="S80:S83" si="61">((((N80*(1+$D$7))+(P80*(1+$D$5+$D$6)))*(1+$D$8)))/I80</f>
        <v>643.65615999999989</v>
      </c>
      <c r="T80" s="169">
        <f t="shared" ref="T80:T83" si="62">S80*I80</f>
        <v>7723.8739199999982</v>
      </c>
    </row>
    <row r="81" spans="1:20" s="7" customFormat="1" ht="78" x14ac:dyDescent="0.25">
      <c r="A81" s="131">
        <f>IF(J81&lt;&gt;"",1+MAX($A$19:A80),"")</f>
        <v>41</v>
      </c>
      <c r="B81" s="53"/>
      <c r="C81" s="53"/>
      <c r="D81" s="106" t="s">
        <v>65</v>
      </c>
      <c r="E81" s="183" t="s">
        <v>107</v>
      </c>
      <c r="F81" s="179" t="s">
        <v>851</v>
      </c>
      <c r="G81" s="54">
        <v>1</v>
      </c>
      <c r="H81" s="55">
        <f>IF(VLOOKUP(J81,'HOURLY RATES'!B$116:C$124,2,0)=0,$J$3,VLOOKUP(J81,'HOURLY RATES'!B$116:C$124,2,0))</f>
        <v>0</v>
      </c>
      <c r="I81" s="56">
        <f t="shared" si="56"/>
        <v>1</v>
      </c>
      <c r="J81" s="105" t="s">
        <v>251</v>
      </c>
      <c r="K81" s="394">
        <v>3.45</v>
      </c>
      <c r="L81" s="63">
        <f t="shared" si="57"/>
        <v>3.45</v>
      </c>
      <c r="M81" s="61">
        <f>IF(VLOOKUP(E81,'HOURLY RATES'!C$6:D$105,2,0)=0,$E$3,VLOOKUP(E81,'HOURLY RATES'!C$6:D$105,2,0))</f>
        <v>60</v>
      </c>
      <c r="N81" s="61">
        <f t="shared" si="58"/>
        <v>207</v>
      </c>
      <c r="O81" s="64">
        <v>465</v>
      </c>
      <c r="P81" s="64">
        <f t="shared" si="59"/>
        <v>465</v>
      </c>
      <c r="Q81" s="65">
        <f t="shared" si="60"/>
        <v>672</v>
      </c>
      <c r="R81" s="132"/>
      <c r="S81" s="170">
        <f t="shared" si="61"/>
        <v>856.11240749999979</v>
      </c>
      <c r="T81" s="169">
        <f t="shared" si="62"/>
        <v>856.11240749999979</v>
      </c>
    </row>
    <row r="82" spans="1:20" s="7" customFormat="1" ht="78" x14ac:dyDescent="0.25">
      <c r="A82" s="131">
        <f>IF(J82&lt;&gt;"",1+MAX($A$19:A81),"")</f>
        <v>42</v>
      </c>
      <c r="B82" s="53"/>
      <c r="C82" s="53"/>
      <c r="D82" s="106" t="s">
        <v>65</v>
      </c>
      <c r="E82" s="183" t="s">
        <v>107</v>
      </c>
      <c r="F82" s="179" t="s">
        <v>852</v>
      </c>
      <c r="G82" s="54">
        <v>1</v>
      </c>
      <c r="H82" s="55">
        <f>IF(VLOOKUP(J82,'HOURLY RATES'!B$116:C$124,2,0)=0,$J$3,VLOOKUP(J82,'HOURLY RATES'!B$116:C$124,2,0))</f>
        <v>0</v>
      </c>
      <c r="I82" s="56">
        <f t="shared" ref="I82:I83" si="63">(G82*(1+H82))</f>
        <v>1</v>
      </c>
      <c r="J82" s="105" t="s">
        <v>251</v>
      </c>
      <c r="K82" s="394">
        <v>3.45</v>
      </c>
      <c r="L82" s="63">
        <f t="shared" si="57"/>
        <v>3.45</v>
      </c>
      <c r="M82" s="61">
        <f>IF(VLOOKUP(E82,'HOURLY RATES'!C$6:D$105,2,0)=0,$E$3,VLOOKUP(E82,'HOURLY RATES'!C$6:D$105,2,0))</f>
        <v>60</v>
      </c>
      <c r="N82" s="61">
        <f t="shared" si="58"/>
        <v>207</v>
      </c>
      <c r="O82" s="64">
        <v>465</v>
      </c>
      <c r="P82" s="64">
        <f t="shared" si="59"/>
        <v>465</v>
      </c>
      <c r="Q82" s="65">
        <f t="shared" si="60"/>
        <v>672</v>
      </c>
      <c r="R82" s="132"/>
      <c r="S82" s="170">
        <f t="shared" si="61"/>
        <v>856.11240749999979</v>
      </c>
      <c r="T82" s="169">
        <f t="shared" si="62"/>
        <v>856.11240749999979</v>
      </c>
    </row>
    <row r="83" spans="1:20" s="7" customFormat="1" ht="78" x14ac:dyDescent="0.25">
      <c r="A83" s="131">
        <f>IF(J83&lt;&gt;"",1+MAX($A$19:A82),"")</f>
        <v>43</v>
      </c>
      <c r="B83" s="53"/>
      <c r="C83" s="53"/>
      <c r="D83" s="106" t="s">
        <v>65</v>
      </c>
      <c r="E83" s="183" t="s">
        <v>107</v>
      </c>
      <c r="F83" s="179" t="s">
        <v>853</v>
      </c>
      <c r="G83" s="54">
        <v>7</v>
      </c>
      <c r="H83" s="55">
        <f>IF(VLOOKUP(J83,'HOURLY RATES'!B$116:C$124,2,0)=0,$J$3,VLOOKUP(J83,'HOURLY RATES'!B$116:C$124,2,0))</f>
        <v>0</v>
      </c>
      <c r="I83" s="56">
        <f t="shared" si="63"/>
        <v>7</v>
      </c>
      <c r="J83" s="105" t="s">
        <v>251</v>
      </c>
      <c r="K83" s="394">
        <v>4</v>
      </c>
      <c r="L83" s="63">
        <f t="shared" si="57"/>
        <v>28</v>
      </c>
      <c r="M83" s="61">
        <f>IF(VLOOKUP(E83,'HOURLY RATES'!C$6:D$105,2,0)=0,$E$3,VLOOKUP(E83,'HOURLY RATES'!C$6:D$105,2,0))</f>
        <v>60</v>
      </c>
      <c r="N83" s="61">
        <f t="shared" si="58"/>
        <v>1680</v>
      </c>
      <c r="O83" s="64">
        <v>950</v>
      </c>
      <c r="P83" s="64">
        <f t="shared" si="59"/>
        <v>6650</v>
      </c>
      <c r="Q83" s="65">
        <f t="shared" si="60"/>
        <v>8330</v>
      </c>
      <c r="R83" s="132"/>
      <c r="S83" s="170">
        <f t="shared" si="61"/>
        <v>1526.2707249999999</v>
      </c>
      <c r="T83" s="169">
        <f t="shared" si="62"/>
        <v>10683.895074999999</v>
      </c>
    </row>
    <row r="84" spans="1:20" s="7" customFormat="1" x14ac:dyDescent="0.25">
      <c r="A84" s="131" t="str">
        <f>IF(J84&lt;&gt;"",1+MAX($A$19:A83),"")</f>
        <v/>
      </c>
      <c r="B84" s="53"/>
      <c r="C84" s="66"/>
      <c r="D84" s="106"/>
      <c r="E84" s="183"/>
      <c r="F84" s="179"/>
      <c r="G84" s="54"/>
      <c r="H84" s="55"/>
      <c r="I84" s="56"/>
      <c r="J84" s="105"/>
      <c r="K84" s="394"/>
      <c r="L84" s="63"/>
      <c r="M84" s="61"/>
      <c r="N84" s="61"/>
      <c r="O84" s="64"/>
      <c r="P84" s="64"/>
      <c r="Q84" s="65"/>
      <c r="R84" s="132"/>
      <c r="S84" s="170"/>
      <c r="T84" s="169"/>
    </row>
    <row r="85" spans="1:20" s="7" customFormat="1" x14ac:dyDescent="0.25">
      <c r="A85" s="131" t="str">
        <f>IF(J85&lt;&gt;"",1+MAX($A$19:A84),"")</f>
        <v/>
      </c>
      <c r="B85" s="53"/>
      <c r="C85" s="66"/>
      <c r="D85" s="106"/>
      <c r="E85" s="183"/>
      <c r="F85" s="176" t="s">
        <v>854</v>
      </c>
      <c r="G85" s="54"/>
      <c r="H85" s="55"/>
      <c r="I85" s="56"/>
      <c r="J85" s="105"/>
      <c r="K85" s="394"/>
      <c r="L85" s="63"/>
      <c r="M85" s="61"/>
      <c r="N85" s="61"/>
      <c r="O85" s="64"/>
      <c r="P85" s="64"/>
      <c r="Q85" s="65"/>
      <c r="R85" s="132"/>
      <c r="S85" s="170"/>
      <c r="T85" s="169"/>
    </row>
    <row r="86" spans="1:20" s="7" customFormat="1" x14ac:dyDescent="0.25">
      <c r="A86" s="131">
        <f>IF(J86&lt;&gt;"",1+MAX($A$19:A85),"")</f>
        <v>44</v>
      </c>
      <c r="B86" s="53"/>
      <c r="C86" s="53"/>
      <c r="D86" s="106" t="s">
        <v>65</v>
      </c>
      <c r="E86" s="183" t="s">
        <v>107</v>
      </c>
      <c r="F86" s="179" t="s">
        <v>855</v>
      </c>
      <c r="G86" s="123">
        <v>9</v>
      </c>
      <c r="H86" s="55">
        <f>IF(VLOOKUP(J86,'HOURLY RATES'!B$116:C$124,2,0)=0,$J$3,VLOOKUP(J86,'HOURLY RATES'!B$116:C$124,2,0))</f>
        <v>0</v>
      </c>
      <c r="I86" s="56">
        <f t="shared" ref="I86:I95" si="64">(G86*(1+H86))</f>
        <v>9</v>
      </c>
      <c r="J86" s="105" t="s">
        <v>251</v>
      </c>
      <c r="K86" s="394">
        <v>0.35</v>
      </c>
      <c r="L86" s="63">
        <f t="shared" ref="L86:L95" si="65">K86*I86</f>
        <v>3.15</v>
      </c>
      <c r="M86" s="61">
        <f>IF(VLOOKUP(E86,'HOURLY RATES'!C$6:D$105,2,0)=0,$E$3,VLOOKUP(E86,'HOURLY RATES'!C$6:D$105,2,0))</f>
        <v>60</v>
      </c>
      <c r="N86" s="61">
        <f t="shared" ref="N86:N95" si="66">M86*L86</f>
        <v>189</v>
      </c>
      <c r="O86" s="64">
        <v>42</v>
      </c>
      <c r="P86" s="64">
        <f t="shared" ref="P86:P95" si="67">O86*I86</f>
        <v>378</v>
      </c>
      <c r="Q86" s="65">
        <f t="shared" ref="Q86" si="68">P86+N86</f>
        <v>567</v>
      </c>
      <c r="R86" s="132"/>
      <c r="S86" s="170">
        <f t="shared" ref="S86:S95" si="69">((((N86*(1+$D$7))+(P86*(1+$D$5+$D$6)))*(1+$D$8)))/I86</f>
        <v>80.131610999999978</v>
      </c>
      <c r="T86" s="169">
        <f t="shared" ref="T86:T95" si="70">S86*I86</f>
        <v>721.18449899999985</v>
      </c>
    </row>
    <row r="87" spans="1:20" s="7" customFormat="1" x14ac:dyDescent="0.25">
      <c r="A87" s="131">
        <f>IF(J87&lt;&gt;"",1+MAX($A$19:A86),"")</f>
        <v>45</v>
      </c>
      <c r="B87" s="53"/>
      <c r="C87" s="53"/>
      <c r="D87" s="106" t="s">
        <v>65</v>
      </c>
      <c r="E87" s="183" t="s">
        <v>107</v>
      </c>
      <c r="F87" s="179" t="s">
        <v>856</v>
      </c>
      <c r="G87" s="123">
        <v>9</v>
      </c>
      <c r="H87" s="55">
        <f>IF(VLOOKUP(J87,'HOURLY RATES'!B$116:C$124,2,0)=0,$J$3,VLOOKUP(J87,'HOURLY RATES'!B$116:C$124,2,0))</f>
        <v>0</v>
      </c>
      <c r="I87" s="56">
        <f t="shared" ref="I87:I88" si="71">(G87*(1+H87))</f>
        <v>9</v>
      </c>
      <c r="J87" s="105" t="s">
        <v>251</v>
      </c>
      <c r="K87" s="394">
        <v>0.75</v>
      </c>
      <c r="L87" s="63">
        <f t="shared" ref="L87:L88" si="72">K87*I87</f>
        <v>6.75</v>
      </c>
      <c r="M87" s="61">
        <f>IF(VLOOKUP(E87,'HOURLY RATES'!C$6:D$105,2,0)=0,$E$3,VLOOKUP(E87,'HOURLY RATES'!C$6:D$105,2,0))</f>
        <v>60</v>
      </c>
      <c r="N87" s="61">
        <f t="shared" ref="N87:N88" si="73">M87*L87</f>
        <v>405</v>
      </c>
      <c r="O87" s="64">
        <v>85</v>
      </c>
      <c r="P87" s="64">
        <f t="shared" ref="P87:P88" si="74">O87*I87</f>
        <v>765</v>
      </c>
      <c r="Q87" s="65">
        <f t="shared" ref="Q87:Q95" si="75">P87+N87</f>
        <v>1170</v>
      </c>
      <c r="R87" s="132"/>
      <c r="S87" s="170">
        <f t="shared" ref="S87:S88" si="76">((((N87*(1+$D$7))+(P87*(1+$D$5+$D$6)))*(1+$D$8)))/I87</f>
        <v>165.2161175</v>
      </c>
      <c r="T87" s="169">
        <f t="shared" ref="T87:T88" si="77">S87*I87</f>
        <v>1486.9450575000001</v>
      </c>
    </row>
    <row r="88" spans="1:20" s="7" customFormat="1" x14ac:dyDescent="0.25">
      <c r="A88" s="131">
        <f>IF(J88&lt;&gt;"",1+MAX($A$19:A87),"")</f>
        <v>46</v>
      </c>
      <c r="B88" s="53"/>
      <c r="C88" s="53"/>
      <c r="D88" s="106" t="s">
        <v>65</v>
      </c>
      <c r="E88" s="183" t="s">
        <v>107</v>
      </c>
      <c r="F88" s="179" t="s">
        <v>920</v>
      </c>
      <c r="G88" s="123">
        <v>90</v>
      </c>
      <c r="H88" s="55">
        <f>IF(VLOOKUP(J88,'HOURLY RATES'!B$116:C$124,2,0)=0,$J$3,VLOOKUP(J88,'HOURLY RATES'!B$116:C$124,2,0))</f>
        <v>0.05</v>
      </c>
      <c r="I88" s="56">
        <f t="shared" si="71"/>
        <v>94.5</v>
      </c>
      <c r="J88" s="105" t="s">
        <v>250</v>
      </c>
      <c r="K88" s="394">
        <v>0.1</v>
      </c>
      <c r="L88" s="63">
        <f t="shared" si="72"/>
        <v>9.4500000000000011</v>
      </c>
      <c r="M88" s="61">
        <f>IF(VLOOKUP(E88,'HOURLY RATES'!C$6:D$105,2,0)=0,$E$3,VLOOKUP(E88,'HOURLY RATES'!C$6:D$105,2,0))</f>
        <v>60</v>
      </c>
      <c r="N88" s="61">
        <f t="shared" si="73"/>
        <v>567.00000000000011</v>
      </c>
      <c r="O88" s="64">
        <v>5.5</v>
      </c>
      <c r="P88" s="64">
        <f t="shared" si="74"/>
        <v>519.75</v>
      </c>
      <c r="Q88" s="65">
        <f t="shared" si="75"/>
        <v>1086.75</v>
      </c>
      <c r="R88" s="132"/>
      <c r="S88" s="170">
        <f t="shared" si="76"/>
        <v>14.451925249999999</v>
      </c>
      <c r="T88" s="169">
        <f t="shared" si="77"/>
        <v>1365.7069361249999</v>
      </c>
    </row>
    <row r="89" spans="1:20" s="7" customFormat="1" x14ac:dyDescent="0.25">
      <c r="A89" s="131">
        <f>IF(J89&lt;&gt;"",1+MAX($A$19:A88),"")</f>
        <v>47</v>
      </c>
      <c r="B89" s="53"/>
      <c r="C89" s="53"/>
      <c r="D89" s="106" t="s">
        <v>65</v>
      </c>
      <c r="E89" s="183" t="s">
        <v>107</v>
      </c>
      <c r="F89" s="179" t="s">
        <v>921</v>
      </c>
      <c r="G89" s="123">
        <v>180</v>
      </c>
      <c r="H89" s="55">
        <f>IF(VLOOKUP(J89,'HOURLY RATES'!B$116:C$124,2,0)=0,$J$3,VLOOKUP(J89,'HOURLY RATES'!B$116:C$124,2,0))</f>
        <v>0.05</v>
      </c>
      <c r="I89" s="56">
        <f t="shared" si="64"/>
        <v>189</v>
      </c>
      <c r="J89" s="105" t="s">
        <v>250</v>
      </c>
      <c r="K89" s="394">
        <v>1.231E-2</v>
      </c>
      <c r="L89" s="63">
        <f t="shared" si="65"/>
        <v>2.3265899999999999</v>
      </c>
      <c r="M89" s="61">
        <f>IF(VLOOKUP(E89,'HOURLY RATES'!C$6:D$105,2,0)=0,$E$3,VLOOKUP(E89,'HOURLY RATES'!C$6:D$105,2,0))</f>
        <v>60</v>
      </c>
      <c r="N89" s="61">
        <f t="shared" si="66"/>
        <v>139.59539999999998</v>
      </c>
      <c r="O89" s="64">
        <v>0.76049999999999995</v>
      </c>
      <c r="P89" s="64">
        <f t="shared" si="67"/>
        <v>143.7345</v>
      </c>
      <c r="Q89" s="65">
        <f t="shared" si="75"/>
        <v>283.32989999999995</v>
      </c>
      <c r="R89" s="132"/>
      <c r="S89" s="170">
        <f t="shared" si="69"/>
        <v>1.8874248277499992</v>
      </c>
      <c r="T89" s="169">
        <f t="shared" si="70"/>
        <v>356.72329244474986</v>
      </c>
    </row>
    <row r="90" spans="1:20" s="7" customFormat="1" x14ac:dyDescent="0.25">
      <c r="A90" s="131">
        <f>IF(J90&lt;&gt;"",1+MAX($A$19:A89),"")</f>
        <v>48</v>
      </c>
      <c r="B90" s="53"/>
      <c r="C90" s="53"/>
      <c r="D90" s="106" t="s">
        <v>65</v>
      </c>
      <c r="E90" s="183" t="s">
        <v>107</v>
      </c>
      <c r="F90" s="179" t="s">
        <v>857</v>
      </c>
      <c r="G90" s="123">
        <v>9</v>
      </c>
      <c r="H90" s="55">
        <f>IF(VLOOKUP(J90,'HOURLY RATES'!B$116:C$124,2,0)=0,$J$3,VLOOKUP(J90,'HOURLY RATES'!B$116:C$124,2,0))</f>
        <v>0</v>
      </c>
      <c r="I90" s="56">
        <f t="shared" si="64"/>
        <v>9</v>
      </c>
      <c r="J90" s="105" t="s">
        <v>251</v>
      </c>
      <c r="K90" s="394">
        <v>0.35</v>
      </c>
      <c r="L90" s="63">
        <f t="shared" si="65"/>
        <v>3.15</v>
      </c>
      <c r="M90" s="61">
        <f>IF(VLOOKUP(E90,'HOURLY RATES'!C$6:D$105,2,0)=0,$E$3,VLOOKUP(E90,'HOURLY RATES'!C$6:D$105,2,0))</f>
        <v>60</v>
      </c>
      <c r="N90" s="61">
        <f t="shared" si="66"/>
        <v>189</v>
      </c>
      <c r="O90" s="64">
        <v>38</v>
      </c>
      <c r="P90" s="64">
        <f t="shared" si="67"/>
        <v>342</v>
      </c>
      <c r="Q90" s="65">
        <f t="shared" si="75"/>
        <v>531</v>
      </c>
      <c r="R90" s="132"/>
      <c r="S90" s="170">
        <f t="shared" si="69"/>
        <v>74.936028999999976</v>
      </c>
      <c r="T90" s="169">
        <f t="shared" si="70"/>
        <v>674.42426099999977</v>
      </c>
    </row>
    <row r="91" spans="1:20" s="7" customFormat="1" x14ac:dyDescent="0.25">
      <c r="A91" s="131">
        <f>IF(J91&lt;&gt;"",1+MAX($A$19:A90),"")</f>
        <v>49</v>
      </c>
      <c r="B91" s="53"/>
      <c r="C91" s="53"/>
      <c r="D91" s="106" t="s">
        <v>65</v>
      </c>
      <c r="E91" s="183" t="s">
        <v>107</v>
      </c>
      <c r="F91" s="179" t="s">
        <v>858</v>
      </c>
      <c r="G91" s="123">
        <v>9</v>
      </c>
      <c r="H91" s="55">
        <f>IF(VLOOKUP(J91,'HOURLY RATES'!B$116:C$124,2,0)=0,$J$3,VLOOKUP(J91,'HOURLY RATES'!B$116:C$124,2,0))</f>
        <v>0</v>
      </c>
      <c r="I91" s="56">
        <f t="shared" si="64"/>
        <v>9</v>
      </c>
      <c r="J91" s="105" t="s">
        <v>251</v>
      </c>
      <c r="K91" s="394">
        <v>0.32300000000000001</v>
      </c>
      <c r="L91" s="63">
        <f t="shared" si="65"/>
        <v>2.907</v>
      </c>
      <c r="M91" s="61">
        <f>IF(VLOOKUP(E91,'HOURLY RATES'!C$6:D$105,2,0)=0,$E$3,VLOOKUP(E91,'HOURLY RATES'!C$6:D$105,2,0))</f>
        <v>60</v>
      </c>
      <c r="N91" s="61">
        <f t="shared" si="66"/>
        <v>174.42000000000002</v>
      </c>
      <c r="O91" s="64">
        <v>32</v>
      </c>
      <c r="P91" s="64">
        <f t="shared" si="67"/>
        <v>288</v>
      </c>
      <c r="Q91" s="65">
        <f t="shared" si="75"/>
        <v>462.42</v>
      </c>
      <c r="R91" s="132"/>
      <c r="S91" s="170">
        <f t="shared" si="69"/>
        <v>65.169495999999981</v>
      </c>
      <c r="T91" s="169">
        <f t="shared" si="70"/>
        <v>586.52546399999983</v>
      </c>
    </row>
    <row r="92" spans="1:20" s="7" customFormat="1" x14ac:dyDescent="0.25">
      <c r="A92" s="131">
        <f>IF(J92&lt;&gt;"",1+MAX($A$19:A91),"")</f>
        <v>50</v>
      </c>
      <c r="B92" s="53"/>
      <c r="C92" s="53"/>
      <c r="D92" s="106" t="s">
        <v>65</v>
      </c>
      <c r="E92" s="183" t="s">
        <v>107</v>
      </c>
      <c r="F92" s="179" t="s">
        <v>961</v>
      </c>
      <c r="G92" s="123">
        <v>9</v>
      </c>
      <c r="H92" s="55">
        <f>IF(VLOOKUP(J92,'HOURLY RATES'!B$116:C$124,2,0)=0,$J$3,VLOOKUP(J92,'HOURLY RATES'!B$116:C$124,2,0))</f>
        <v>0</v>
      </c>
      <c r="I92" s="56">
        <f t="shared" ref="I92" si="78">(G92*(1+H92))</f>
        <v>9</v>
      </c>
      <c r="J92" s="105" t="s">
        <v>251</v>
      </c>
      <c r="K92" s="394">
        <v>0.21199999999999999</v>
      </c>
      <c r="L92" s="63">
        <f t="shared" ref="L92" si="79">K92*I92</f>
        <v>1.9079999999999999</v>
      </c>
      <c r="M92" s="61">
        <f>IF(VLOOKUP(E92,'HOURLY RATES'!C$6:D$105,2,0)=0,$E$3,VLOOKUP(E92,'HOURLY RATES'!C$6:D$105,2,0))</f>
        <v>60</v>
      </c>
      <c r="N92" s="61">
        <f t="shared" ref="N92" si="80">M92*L92</f>
        <v>114.47999999999999</v>
      </c>
      <c r="O92" s="64">
        <v>28</v>
      </c>
      <c r="P92" s="64">
        <f t="shared" ref="P92" si="81">O92*I92</f>
        <v>252</v>
      </c>
      <c r="Q92" s="65">
        <f t="shared" si="75"/>
        <v>366.48</v>
      </c>
      <c r="R92" s="132"/>
      <c r="S92" s="170">
        <f t="shared" ref="S92" si="82">((((N92*(1+$D$7))+(P92*(1+$D$5+$D$6)))*(1+$D$8)))/I92</f>
        <v>51.862033999999987</v>
      </c>
      <c r="T92" s="169">
        <f t="shared" ref="T92" si="83">S92*I92</f>
        <v>466.75830599999989</v>
      </c>
    </row>
    <row r="93" spans="1:20" s="7" customFormat="1" x14ac:dyDescent="0.25">
      <c r="A93" s="131">
        <f>IF(J93&lt;&gt;"",1+MAX($A$19:A92),"")</f>
        <v>51</v>
      </c>
      <c r="B93" s="53"/>
      <c r="C93" s="53"/>
      <c r="D93" s="106" t="s">
        <v>65</v>
      </c>
      <c r="E93" s="183" t="s">
        <v>107</v>
      </c>
      <c r="F93" s="179" t="s">
        <v>962</v>
      </c>
      <c r="G93" s="123">
        <v>9</v>
      </c>
      <c r="H93" s="55">
        <f>IF(VLOOKUP(J93,'HOURLY RATES'!B$116:C$124,2,0)=0,$J$3,VLOOKUP(J93,'HOURLY RATES'!B$116:C$124,2,0))</f>
        <v>0</v>
      </c>
      <c r="I93" s="56">
        <f t="shared" si="64"/>
        <v>9</v>
      </c>
      <c r="J93" s="105" t="s">
        <v>251</v>
      </c>
      <c r="K93" s="394">
        <v>0.75</v>
      </c>
      <c r="L93" s="63">
        <f t="shared" si="65"/>
        <v>6.75</v>
      </c>
      <c r="M93" s="61">
        <f>IF(VLOOKUP(E93,'HOURLY RATES'!C$6:D$105,2,0)=0,$E$3,VLOOKUP(E93,'HOURLY RATES'!C$6:D$105,2,0))</f>
        <v>60</v>
      </c>
      <c r="N93" s="61">
        <f t="shared" si="66"/>
        <v>405</v>
      </c>
      <c r="O93" s="64">
        <v>95</v>
      </c>
      <c r="P93" s="64">
        <f t="shared" si="67"/>
        <v>855</v>
      </c>
      <c r="Q93" s="65">
        <f t="shared" si="75"/>
        <v>1260</v>
      </c>
      <c r="R93" s="132"/>
      <c r="S93" s="170">
        <f t="shared" si="69"/>
        <v>178.20507249999997</v>
      </c>
      <c r="T93" s="169">
        <f t="shared" si="70"/>
        <v>1603.8456524999997</v>
      </c>
    </row>
    <row r="94" spans="1:20" s="7" customFormat="1" x14ac:dyDescent="0.25">
      <c r="A94" s="131">
        <f>IF(J94&lt;&gt;"",1+MAX($A$19:A93),"")</f>
        <v>52</v>
      </c>
      <c r="B94" s="53"/>
      <c r="C94" s="53"/>
      <c r="D94" s="106" t="s">
        <v>65</v>
      </c>
      <c r="E94" s="183" t="s">
        <v>107</v>
      </c>
      <c r="F94" s="179" t="s">
        <v>963</v>
      </c>
      <c r="G94" s="123">
        <v>9</v>
      </c>
      <c r="H94" s="55">
        <f>IF(VLOOKUP(J94,'HOURLY RATES'!B$116:C$124,2,0)=0,$J$3,VLOOKUP(J94,'HOURLY RATES'!B$116:C$124,2,0))</f>
        <v>0</v>
      </c>
      <c r="I94" s="56">
        <f t="shared" ref="I94" si="84">(G94*(1+H94))</f>
        <v>9</v>
      </c>
      <c r="J94" s="105" t="s">
        <v>251</v>
      </c>
      <c r="K94" s="394">
        <v>1.1000000000000001</v>
      </c>
      <c r="L94" s="63">
        <f t="shared" ref="L94" si="85">K94*I94</f>
        <v>9.9</v>
      </c>
      <c r="M94" s="61">
        <f>IF(VLOOKUP(E94,'HOURLY RATES'!C$6:D$105,2,0)=0,$E$3,VLOOKUP(E94,'HOURLY RATES'!C$6:D$105,2,0))</f>
        <v>60</v>
      </c>
      <c r="N94" s="61">
        <f t="shared" ref="N94" si="86">M94*L94</f>
        <v>594</v>
      </c>
      <c r="O94" s="64">
        <v>110</v>
      </c>
      <c r="P94" s="64">
        <f t="shared" ref="P94" si="87">O94*I94</f>
        <v>990</v>
      </c>
      <c r="Q94" s="65">
        <f t="shared" si="75"/>
        <v>1584</v>
      </c>
      <c r="R94" s="132"/>
      <c r="S94" s="170">
        <f t="shared" ref="S94" si="88">((((N94*(1+$D$7))+(P94*(1+$D$5+$D$6)))*(1+$D$8)))/I94</f>
        <v>223.26650499999994</v>
      </c>
      <c r="T94" s="169">
        <f t="shared" ref="T94" si="89">S94*I94</f>
        <v>2009.3985449999996</v>
      </c>
    </row>
    <row r="95" spans="1:20" s="7" customFormat="1" x14ac:dyDescent="0.25">
      <c r="A95" s="131">
        <f>IF(J95&lt;&gt;"",1+MAX($A$19:A94),"")</f>
        <v>53</v>
      </c>
      <c r="B95" s="53"/>
      <c r="C95" s="53"/>
      <c r="D95" s="106" t="s">
        <v>65</v>
      </c>
      <c r="E95" s="183" t="s">
        <v>107</v>
      </c>
      <c r="F95" s="179" t="s">
        <v>964</v>
      </c>
      <c r="G95" s="123">
        <v>9</v>
      </c>
      <c r="H95" s="55">
        <f>IF(VLOOKUP(J95,'HOURLY RATES'!B$116:C$124,2,0)=0,$J$3,VLOOKUP(J95,'HOURLY RATES'!B$116:C$124,2,0))</f>
        <v>0</v>
      </c>
      <c r="I95" s="56">
        <f t="shared" si="64"/>
        <v>9</v>
      </c>
      <c r="J95" s="105" t="s">
        <v>251</v>
      </c>
      <c r="K95" s="394">
        <v>3.65</v>
      </c>
      <c r="L95" s="63">
        <f t="shared" si="65"/>
        <v>32.85</v>
      </c>
      <c r="M95" s="61">
        <f>IF(VLOOKUP(E95,'HOURLY RATES'!C$6:D$105,2,0)=0,$E$3,VLOOKUP(E95,'HOURLY RATES'!C$6:D$105,2,0))</f>
        <v>60</v>
      </c>
      <c r="N95" s="61">
        <f t="shared" si="66"/>
        <v>1971</v>
      </c>
      <c r="O95" s="64">
        <v>850</v>
      </c>
      <c r="P95" s="64">
        <f t="shared" si="67"/>
        <v>7650</v>
      </c>
      <c r="Q95" s="65">
        <f t="shared" si="75"/>
        <v>9621</v>
      </c>
      <c r="R95" s="132"/>
      <c r="S95" s="170">
        <f t="shared" si="69"/>
        <v>1370.8031749999998</v>
      </c>
      <c r="T95" s="169">
        <f t="shared" si="70"/>
        <v>12337.228574999997</v>
      </c>
    </row>
    <row r="96" spans="1:20" s="7" customFormat="1" x14ac:dyDescent="0.25">
      <c r="A96" s="131" t="str">
        <f>IF(J96&lt;&gt;"",1+MAX($A$19:A95),"")</f>
        <v/>
      </c>
      <c r="B96" s="53"/>
      <c r="C96" s="66"/>
      <c r="D96" s="106"/>
      <c r="E96" s="183"/>
      <c r="F96" s="179" t="s">
        <v>248</v>
      </c>
      <c r="G96" s="54"/>
      <c r="H96" s="55"/>
      <c r="I96" s="56"/>
      <c r="J96" s="105"/>
      <c r="K96" s="394"/>
      <c r="L96" s="63"/>
      <c r="M96" s="61"/>
      <c r="N96" s="61"/>
      <c r="O96" s="64"/>
      <c r="P96" s="64"/>
      <c r="Q96" s="65"/>
      <c r="R96" s="132"/>
      <c r="S96" s="170"/>
      <c r="T96" s="169"/>
    </row>
    <row r="97" spans="1:20" s="7" customFormat="1" ht="18" x14ac:dyDescent="0.25">
      <c r="A97" s="131" t="str">
        <f>IF(J97&lt;&gt;"",1+MAX($A$19:A96),"")</f>
        <v/>
      </c>
      <c r="B97" s="53"/>
      <c r="C97" s="66"/>
      <c r="D97" s="106"/>
      <c r="E97" s="183"/>
      <c r="F97" s="178" t="s">
        <v>255</v>
      </c>
      <c r="G97" s="54"/>
      <c r="H97" s="55"/>
      <c r="I97" s="56"/>
      <c r="J97" s="105"/>
      <c r="K97" s="394"/>
      <c r="L97" s="63"/>
      <c r="M97" s="61"/>
      <c r="N97" s="61"/>
      <c r="O97" s="64"/>
      <c r="P97" s="64"/>
      <c r="Q97" s="65"/>
      <c r="R97" s="132"/>
      <c r="S97" s="170"/>
      <c r="T97" s="169"/>
    </row>
    <row r="98" spans="1:20" s="7" customFormat="1" x14ac:dyDescent="0.25">
      <c r="A98" s="131" t="str">
        <f>IF(J98&lt;&gt;"",1+MAX($A$19:A97),"")</f>
        <v/>
      </c>
      <c r="B98" s="53"/>
      <c r="C98" s="66"/>
      <c r="D98" s="106"/>
      <c r="E98" s="183"/>
      <c r="F98" s="176" t="s">
        <v>256</v>
      </c>
      <c r="G98" s="54"/>
      <c r="H98" s="55"/>
      <c r="I98" s="56"/>
      <c r="J98" s="105"/>
      <c r="K98" s="394"/>
      <c r="L98" s="63"/>
      <c r="M98" s="61"/>
      <c r="N98" s="61"/>
      <c r="O98" s="64"/>
      <c r="P98" s="64"/>
      <c r="Q98" s="65"/>
      <c r="R98" s="132"/>
      <c r="S98" s="170"/>
      <c r="T98" s="169"/>
    </row>
    <row r="99" spans="1:20" s="7" customFormat="1" x14ac:dyDescent="0.25">
      <c r="A99" s="131">
        <f>IF(J99&lt;&gt;"",1+MAX($A$19:A98),"")</f>
        <v>54</v>
      </c>
      <c r="B99" s="53"/>
      <c r="C99" s="53"/>
      <c r="D99" s="106" t="s">
        <v>65</v>
      </c>
      <c r="E99" s="183" t="s">
        <v>107</v>
      </c>
      <c r="F99" s="179" t="s">
        <v>859</v>
      </c>
      <c r="G99" s="123">
        <v>17</v>
      </c>
      <c r="H99" s="55">
        <f>IF(VLOOKUP(J99,'HOURLY RATES'!B$116:C$124,2,0)=0,$J$3,VLOOKUP(J99,'HOURLY RATES'!B$116:C$124,2,0))</f>
        <v>0</v>
      </c>
      <c r="I99" s="56">
        <f t="shared" ref="I99:I100" si="90">(G99*(1+H99))</f>
        <v>17</v>
      </c>
      <c r="J99" s="105" t="s">
        <v>251</v>
      </c>
      <c r="K99" s="394">
        <v>0.21199999999999999</v>
      </c>
      <c r="L99" s="63">
        <f t="shared" ref="L99:L100" si="91">K99*I99</f>
        <v>3.6040000000000001</v>
      </c>
      <c r="M99" s="61">
        <f>IF(VLOOKUP(E99,'HOURLY RATES'!C$6:D$105,2,0)=0,$E$3,VLOOKUP(E99,'HOURLY RATES'!C$6:D$105,2,0))</f>
        <v>60</v>
      </c>
      <c r="N99" s="61">
        <f t="shared" ref="N99:N100" si="92">M99*L99</f>
        <v>216.24</v>
      </c>
      <c r="O99" s="64">
        <v>28</v>
      </c>
      <c r="P99" s="64">
        <f t="shared" ref="P99:P100" si="93">O99*I99</f>
        <v>476</v>
      </c>
      <c r="Q99" s="65">
        <f t="shared" ref="Q99:Q100" si="94">P99+N99</f>
        <v>692.24</v>
      </c>
      <c r="R99" s="132"/>
      <c r="S99" s="170">
        <f t="shared" ref="S99:S100" si="95">((((N99*(1+$D$7))+(P99*(1+$D$5+$D$6)))*(1+$D$8)))/I99</f>
        <v>51.862033999999994</v>
      </c>
      <c r="T99" s="169">
        <f t="shared" ref="T99:T100" si="96">S99*I99</f>
        <v>881.6545779999999</v>
      </c>
    </row>
    <row r="100" spans="1:20" s="7" customFormat="1" x14ac:dyDescent="0.25">
      <c r="A100" s="131">
        <f>IF(J100&lt;&gt;"",1+MAX($A$19:A99),"")</f>
        <v>55</v>
      </c>
      <c r="B100" s="53"/>
      <c r="C100" s="53"/>
      <c r="D100" s="106" t="s">
        <v>65</v>
      </c>
      <c r="E100" s="183" t="s">
        <v>107</v>
      </c>
      <c r="F100" s="179" t="s">
        <v>860</v>
      </c>
      <c r="G100" s="123">
        <v>5</v>
      </c>
      <c r="H100" s="55">
        <f>IF(VLOOKUP(J100,'HOURLY RATES'!B$116:C$124,2,0)=0,$J$3,VLOOKUP(J100,'HOURLY RATES'!B$116:C$124,2,0))</f>
        <v>0</v>
      </c>
      <c r="I100" s="56">
        <f t="shared" si="90"/>
        <v>5</v>
      </c>
      <c r="J100" s="105" t="s">
        <v>251</v>
      </c>
      <c r="K100" s="394">
        <v>0.3</v>
      </c>
      <c r="L100" s="63">
        <f t="shared" si="91"/>
        <v>1.5</v>
      </c>
      <c r="M100" s="61">
        <f>IF(VLOOKUP(E100,'HOURLY RATES'!C$6:D$105,2,0)=0,$E$3,VLOOKUP(E100,'HOURLY RATES'!C$6:D$105,2,0))</f>
        <v>60</v>
      </c>
      <c r="N100" s="61">
        <f t="shared" si="92"/>
        <v>90</v>
      </c>
      <c r="O100" s="64">
        <v>35</v>
      </c>
      <c r="P100" s="64">
        <f t="shared" si="93"/>
        <v>175</v>
      </c>
      <c r="Q100" s="65">
        <f t="shared" si="94"/>
        <v>265</v>
      </c>
      <c r="R100" s="132"/>
      <c r="S100" s="170">
        <f t="shared" si="95"/>
        <v>67.385342499999993</v>
      </c>
      <c r="T100" s="169">
        <f t="shared" si="96"/>
        <v>336.92671249999995</v>
      </c>
    </row>
    <row r="101" spans="1:20" s="7" customFormat="1" x14ac:dyDescent="0.25">
      <c r="A101" s="131" t="str">
        <f>IF(J101&lt;&gt;"",1+MAX($A$19:A100),"")</f>
        <v/>
      </c>
      <c r="B101" s="53"/>
      <c r="C101" s="66"/>
      <c r="D101" s="106"/>
      <c r="E101" s="183"/>
      <c r="F101" s="180" t="s">
        <v>248</v>
      </c>
      <c r="G101" s="54"/>
      <c r="H101" s="55"/>
      <c r="I101" s="56"/>
      <c r="J101" s="105"/>
      <c r="K101" s="394"/>
      <c r="L101" s="63"/>
      <c r="M101" s="61"/>
      <c r="N101" s="61"/>
      <c r="O101" s="64"/>
      <c r="P101" s="64"/>
      <c r="Q101" s="65"/>
      <c r="R101" s="132"/>
      <c r="S101" s="170"/>
      <c r="T101" s="169"/>
    </row>
    <row r="102" spans="1:20" s="7" customFormat="1" x14ac:dyDescent="0.25">
      <c r="A102" s="131" t="str">
        <f>IF(J102&lt;&gt;"",1+MAX($A$19:A101),"")</f>
        <v/>
      </c>
      <c r="B102" s="53"/>
      <c r="C102" s="66"/>
      <c r="D102" s="106"/>
      <c r="E102" s="183"/>
      <c r="F102" s="176" t="s">
        <v>762</v>
      </c>
      <c r="G102" s="54"/>
      <c r="H102" s="55"/>
      <c r="I102" s="56"/>
      <c r="J102" s="105"/>
      <c r="K102" s="394"/>
      <c r="L102" s="63"/>
      <c r="M102" s="61"/>
      <c r="N102" s="61"/>
      <c r="O102" s="64"/>
      <c r="P102" s="64"/>
      <c r="Q102" s="65"/>
      <c r="R102" s="132"/>
      <c r="S102" s="170"/>
      <c r="T102" s="169"/>
    </row>
    <row r="103" spans="1:20" s="7" customFormat="1" x14ac:dyDescent="0.25">
      <c r="A103" s="131">
        <f>IF(J103&lt;&gt;"",1+MAX($A$19:A102),"")</f>
        <v>56</v>
      </c>
      <c r="B103" s="53"/>
      <c r="C103" s="53"/>
      <c r="D103" s="106" t="s">
        <v>65</v>
      </c>
      <c r="E103" s="183" t="s">
        <v>107</v>
      </c>
      <c r="F103" s="179" t="s">
        <v>861</v>
      </c>
      <c r="G103" s="123">
        <v>2</v>
      </c>
      <c r="H103" s="55">
        <f>IF(VLOOKUP(J103,'HOURLY RATES'!B$116:C$124,2,0)=0,$J$3,VLOOKUP(J103,'HOURLY RATES'!B$116:C$124,2,0))</f>
        <v>0</v>
      </c>
      <c r="I103" s="56">
        <f t="shared" ref="I103" si="97">(G103*(1+H103))</f>
        <v>2</v>
      </c>
      <c r="J103" s="105" t="s">
        <v>251</v>
      </c>
      <c r="K103" s="394">
        <v>2.4500000000000002</v>
      </c>
      <c r="L103" s="63">
        <f t="shared" ref="L103" si="98">K103*I103</f>
        <v>4.9000000000000004</v>
      </c>
      <c r="M103" s="61">
        <f>IF(VLOOKUP(E103,'HOURLY RATES'!C$6:D$105,2,0)=0,$E$3,VLOOKUP(E103,'HOURLY RATES'!C$6:D$105,2,0))</f>
        <v>60</v>
      </c>
      <c r="N103" s="61">
        <f t="shared" ref="N103" si="99">M103*L103</f>
        <v>294</v>
      </c>
      <c r="O103" s="64">
        <v>285</v>
      </c>
      <c r="P103" s="64">
        <f t="shared" ref="P103" si="100">O103*I103</f>
        <v>570</v>
      </c>
      <c r="Q103" s="65">
        <f t="shared" ref="Q103" si="101">P103+N103</f>
        <v>864</v>
      </c>
      <c r="R103" s="132"/>
      <c r="S103" s="170">
        <f t="shared" ref="S103" si="102">((((N103*(1+$D$7))+(P103*(1+$D$5+$D$6)))*(1+$D$8)))/I103</f>
        <v>549.23121749999984</v>
      </c>
      <c r="T103" s="169">
        <f t="shared" ref="T103" si="103">S103*I103</f>
        <v>1098.4624349999997</v>
      </c>
    </row>
    <row r="104" spans="1:20" s="7" customFormat="1" x14ac:dyDescent="0.25">
      <c r="A104" s="131" t="str">
        <f>IF(J104&lt;&gt;"",1+MAX($A$19:A103),"")</f>
        <v/>
      </c>
      <c r="B104" s="53"/>
      <c r="C104" s="66"/>
      <c r="D104" s="106"/>
      <c r="E104" s="183"/>
      <c r="F104" s="179" t="s">
        <v>248</v>
      </c>
      <c r="G104" s="54"/>
      <c r="H104" s="55"/>
      <c r="I104" s="56"/>
      <c r="J104" s="105"/>
      <c r="K104" s="394"/>
      <c r="L104" s="63"/>
      <c r="M104" s="61"/>
      <c r="N104" s="61"/>
      <c r="O104" s="64"/>
      <c r="P104" s="64"/>
      <c r="Q104" s="65"/>
      <c r="R104" s="132"/>
      <c r="S104" s="170"/>
      <c r="T104" s="169"/>
    </row>
    <row r="105" spans="1:20" s="7" customFormat="1" x14ac:dyDescent="0.25">
      <c r="A105" s="131" t="str">
        <f>IF(J105&lt;&gt;"",1+MAX($A$19:A104),"")</f>
        <v/>
      </c>
      <c r="B105" s="53"/>
      <c r="C105" s="66"/>
      <c r="D105" s="106"/>
      <c r="E105" s="183"/>
      <c r="F105" s="176" t="s">
        <v>943</v>
      </c>
      <c r="G105" s="54"/>
      <c r="H105" s="55"/>
      <c r="I105" s="56"/>
      <c r="J105" s="105"/>
      <c r="K105" s="394"/>
      <c r="L105" s="63"/>
      <c r="M105" s="61"/>
      <c r="N105" s="61"/>
      <c r="O105" s="64"/>
      <c r="P105" s="64"/>
      <c r="Q105" s="65"/>
      <c r="R105" s="132"/>
      <c r="S105" s="170"/>
      <c r="T105" s="169"/>
    </row>
    <row r="106" spans="1:20" s="7" customFormat="1" x14ac:dyDescent="0.25">
      <c r="A106" s="131">
        <f>IF(J106&lt;&gt;"",1+MAX($A$19:A105),"")</f>
        <v>57</v>
      </c>
      <c r="B106" s="53"/>
      <c r="C106" s="53"/>
      <c r="D106" s="106" t="s">
        <v>65</v>
      </c>
      <c r="E106" s="183" t="s">
        <v>107</v>
      </c>
      <c r="F106" s="179" t="s">
        <v>777</v>
      </c>
      <c r="G106" s="123">
        <v>20</v>
      </c>
      <c r="H106" s="55">
        <f>IF(VLOOKUP(J106,'HOURLY RATES'!B$116:C$124,2,0)=0,$J$3,VLOOKUP(J106,'HOURLY RATES'!B$116:C$124,2,0))</f>
        <v>0</v>
      </c>
      <c r="I106" s="56">
        <f t="shared" ref="I106:I109" si="104">(G106*(1+H106))</f>
        <v>20</v>
      </c>
      <c r="J106" s="105" t="s">
        <v>251</v>
      </c>
      <c r="K106" s="394">
        <v>1.1200000000000001</v>
      </c>
      <c r="L106" s="63">
        <f t="shared" ref="L106:L109" si="105">K106*I106</f>
        <v>22.400000000000002</v>
      </c>
      <c r="M106" s="61">
        <f>IF(VLOOKUP(E106,'HOURLY RATES'!C$6:D$105,2,0)=0,$E$3,VLOOKUP(E106,'HOURLY RATES'!C$6:D$105,2,0))</f>
        <v>60</v>
      </c>
      <c r="N106" s="61">
        <f t="shared" ref="N106:N109" si="106">M106*L106</f>
        <v>1344.0000000000002</v>
      </c>
      <c r="O106" s="64">
        <v>125</v>
      </c>
      <c r="P106" s="64">
        <f t="shared" ref="P106:P109" si="107">O106*I106</f>
        <v>2500</v>
      </c>
      <c r="Q106" s="65">
        <f t="shared" ref="Q106:Q109" si="108">P106+N106</f>
        <v>3844</v>
      </c>
      <c r="R106" s="132"/>
      <c r="S106" s="170">
        <f t="shared" ref="S106:S109" si="109">((((N106*(1+$D$7))+(P106*(1+$D$5+$D$6)))*(1+$D$8)))/I106</f>
        <v>244.21153749999993</v>
      </c>
      <c r="T106" s="169">
        <f t="shared" ref="T106:T109" si="110">S106*I106</f>
        <v>4884.2307499999988</v>
      </c>
    </row>
    <row r="107" spans="1:20" s="7" customFormat="1" x14ac:dyDescent="0.25">
      <c r="A107" s="131">
        <f>IF(J107&lt;&gt;"",1+MAX($A$19:A106),"")</f>
        <v>58</v>
      </c>
      <c r="B107" s="53"/>
      <c r="C107" s="53"/>
      <c r="D107" s="106" t="s">
        <v>65</v>
      </c>
      <c r="E107" s="183" t="s">
        <v>107</v>
      </c>
      <c r="F107" s="179" t="s">
        <v>942</v>
      </c>
      <c r="G107" s="123">
        <v>20</v>
      </c>
      <c r="H107" s="55">
        <f>IF(VLOOKUP(J107,'HOURLY RATES'!B$116:C$124,2,0)=0,$J$3,VLOOKUP(J107,'HOURLY RATES'!B$116:C$124,2,0))</f>
        <v>0</v>
      </c>
      <c r="I107" s="56">
        <f t="shared" si="104"/>
        <v>20</v>
      </c>
      <c r="J107" s="105" t="s">
        <v>251</v>
      </c>
      <c r="K107" s="394">
        <v>0.2</v>
      </c>
      <c r="L107" s="63">
        <f t="shared" si="105"/>
        <v>4</v>
      </c>
      <c r="M107" s="61">
        <f>IF(VLOOKUP(E107,'HOURLY RATES'!C$6:D$105,2,0)=0,$E$3,VLOOKUP(E107,'HOURLY RATES'!C$6:D$105,2,0))</f>
        <v>60</v>
      </c>
      <c r="N107" s="61">
        <f t="shared" si="106"/>
        <v>240</v>
      </c>
      <c r="O107" s="64">
        <v>18</v>
      </c>
      <c r="P107" s="64">
        <f t="shared" si="107"/>
        <v>360</v>
      </c>
      <c r="Q107" s="65">
        <f t="shared" si="108"/>
        <v>600</v>
      </c>
      <c r="R107" s="132"/>
      <c r="S107" s="170">
        <f t="shared" si="109"/>
        <v>37.996119</v>
      </c>
      <c r="T107" s="169">
        <f t="shared" si="110"/>
        <v>759.92237999999998</v>
      </c>
    </row>
    <row r="108" spans="1:20" s="7" customFormat="1" x14ac:dyDescent="0.25">
      <c r="A108" s="131">
        <f>IF(J108&lt;&gt;"",1+MAX($A$19:A107),"")</f>
        <v>59</v>
      </c>
      <c r="B108" s="53"/>
      <c r="C108" s="53"/>
      <c r="D108" s="106" t="s">
        <v>65</v>
      </c>
      <c r="E108" s="183" t="s">
        <v>107</v>
      </c>
      <c r="F108" s="179" t="s">
        <v>763</v>
      </c>
      <c r="G108" s="123">
        <v>20</v>
      </c>
      <c r="H108" s="55">
        <f>IF(VLOOKUP(J108,'HOURLY RATES'!B$116:C$124,2,0)=0,$J$3,VLOOKUP(J108,'HOURLY RATES'!B$116:C$124,2,0))</f>
        <v>0</v>
      </c>
      <c r="I108" s="56">
        <f t="shared" si="104"/>
        <v>20</v>
      </c>
      <c r="J108" s="105" t="s">
        <v>251</v>
      </c>
      <c r="K108" s="394">
        <v>0.21199999999999999</v>
      </c>
      <c r="L108" s="63">
        <f t="shared" si="105"/>
        <v>4.24</v>
      </c>
      <c r="M108" s="61">
        <f>IF(VLOOKUP(E108,'HOURLY RATES'!C$6:D$105,2,0)=0,$E$3,VLOOKUP(E108,'HOURLY RATES'!C$6:D$105,2,0))</f>
        <v>60</v>
      </c>
      <c r="N108" s="61">
        <f t="shared" si="106"/>
        <v>254.4</v>
      </c>
      <c r="O108" s="64">
        <v>28</v>
      </c>
      <c r="P108" s="64">
        <f t="shared" si="107"/>
        <v>560</v>
      </c>
      <c r="Q108" s="65">
        <f t="shared" si="108"/>
        <v>814.4</v>
      </c>
      <c r="R108" s="132"/>
      <c r="S108" s="170">
        <f t="shared" si="109"/>
        <v>51.862033999999994</v>
      </c>
      <c r="T108" s="169">
        <f t="shared" si="110"/>
        <v>1037.2406799999999</v>
      </c>
    </row>
    <row r="109" spans="1:20" s="7" customFormat="1" x14ac:dyDescent="0.25">
      <c r="A109" s="131">
        <f>IF(J109&lt;&gt;"",1+MAX($A$19:A108),"")</f>
        <v>60</v>
      </c>
      <c r="B109" s="53"/>
      <c r="C109" s="53"/>
      <c r="D109" s="106" t="s">
        <v>65</v>
      </c>
      <c r="E109" s="183" t="s">
        <v>107</v>
      </c>
      <c r="F109" s="179" t="s">
        <v>941</v>
      </c>
      <c r="G109" s="123">
        <v>20</v>
      </c>
      <c r="H109" s="55">
        <f>IF(VLOOKUP(J109,'HOURLY RATES'!B$116:C$124,2,0)=0,$J$3,VLOOKUP(J109,'HOURLY RATES'!B$116:C$124,2,0))</f>
        <v>0</v>
      </c>
      <c r="I109" s="56">
        <f t="shared" si="104"/>
        <v>20</v>
      </c>
      <c r="J109" s="105" t="s">
        <v>251</v>
      </c>
      <c r="K109" s="394">
        <v>2.2999999999999998</v>
      </c>
      <c r="L109" s="63">
        <f t="shared" si="105"/>
        <v>46</v>
      </c>
      <c r="M109" s="61">
        <f>IF(VLOOKUP(E109,'HOURLY RATES'!C$6:D$105,2,0)=0,$E$3,VLOOKUP(E109,'HOURLY RATES'!C$6:D$105,2,0))</f>
        <v>60</v>
      </c>
      <c r="N109" s="61">
        <f t="shared" si="106"/>
        <v>2760</v>
      </c>
      <c r="O109" s="64">
        <v>296.32</v>
      </c>
      <c r="P109" s="64">
        <f t="shared" si="107"/>
        <v>5926.4</v>
      </c>
      <c r="Q109" s="65">
        <f t="shared" si="108"/>
        <v>8686.4</v>
      </c>
      <c r="R109" s="132"/>
      <c r="S109" s="170">
        <f t="shared" si="109"/>
        <v>552.97271455999987</v>
      </c>
      <c r="T109" s="169">
        <f t="shared" si="110"/>
        <v>11059.454291199998</v>
      </c>
    </row>
    <row r="110" spans="1:20" s="7" customFormat="1" x14ac:dyDescent="0.25">
      <c r="A110" s="131" t="str">
        <f>IF(J110&lt;&gt;"",1+MAX($A$19:A109),"")</f>
        <v/>
      </c>
      <c r="B110" s="53"/>
      <c r="C110" s="66"/>
      <c r="D110" s="106"/>
      <c r="E110" s="183"/>
      <c r="F110" s="179" t="s">
        <v>248</v>
      </c>
      <c r="G110" s="54"/>
      <c r="H110" s="55"/>
      <c r="I110" s="56"/>
      <c r="J110" s="105"/>
      <c r="K110" s="394"/>
      <c r="L110" s="63"/>
      <c r="M110" s="61"/>
      <c r="N110" s="61"/>
      <c r="O110" s="64"/>
      <c r="P110" s="64"/>
      <c r="Q110" s="65"/>
      <c r="R110" s="132"/>
      <c r="S110" s="170"/>
      <c r="T110" s="169"/>
    </row>
    <row r="111" spans="1:20" s="7" customFormat="1" x14ac:dyDescent="0.25">
      <c r="A111" s="131" t="str">
        <f>IF(J111&lt;&gt;"",1+MAX($A$19:A110),"")</f>
        <v/>
      </c>
      <c r="B111" s="53"/>
      <c r="C111" s="66"/>
      <c r="D111" s="106"/>
      <c r="E111" s="183"/>
      <c r="F111" s="176" t="s">
        <v>755</v>
      </c>
      <c r="G111" s="54"/>
      <c r="H111" s="55"/>
      <c r="I111" s="56"/>
      <c r="J111" s="105"/>
      <c r="K111" s="394"/>
      <c r="L111" s="63"/>
      <c r="M111" s="61"/>
      <c r="N111" s="61"/>
      <c r="O111" s="64"/>
      <c r="P111" s="64"/>
      <c r="Q111" s="65"/>
      <c r="R111" s="132"/>
      <c r="S111" s="170"/>
      <c r="T111" s="169"/>
    </row>
    <row r="112" spans="1:20" s="7" customFormat="1" ht="19.95" customHeight="1" x14ac:dyDescent="0.25">
      <c r="A112" s="131">
        <f>IF(J112&lt;&gt;"",1+MAX($A$19:A111),"")</f>
        <v>61</v>
      </c>
      <c r="B112" s="53"/>
      <c r="C112" s="53"/>
      <c r="D112" s="106" t="s">
        <v>65</v>
      </c>
      <c r="E112" s="183" t="s">
        <v>107</v>
      </c>
      <c r="F112" s="179" t="s">
        <v>901</v>
      </c>
      <c r="G112" s="123">
        <v>1</v>
      </c>
      <c r="H112" s="55">
        <f>IF(VLOOKUP(J112,'HOURLY RATES'!B$116:C$124,2,0)=0,$J$3,VLOOKUP(J112,'HOURLY RATES'!B$116:C$124,2,0))</f>
        <v>0</v>
      </c>
      <c r="I112" s="56">
        <f t="shared" ref="I112:I114" si="111">(G112*(1+H112))</f>
        <v>1</v>
      </c>
      <c r="J112" s="105" t="s">
        <v>251</v>
      </c>
      <c r="K112" s="394">
        <v>2.1</v>
      </c>
      <c r="L112" s="63">
        <f t="shared" ref="L112:L114" si="112">K112*I112</f>
        <v>2.1</v>
      </c>
      <c r="M112" s="61">
        <f>IF(VLOOKUP(E112,'HOURLY RATES'!C$6:D$105,2,0)=0,$E$3,VLOOKUP(E112,'HOURLY RATES'!C$6:D$105,2,0))</f>
        <v>60</v>
      </c>
      <c r="N112" s="61">
        <f t="shared" ref="N112:N114" si="113">M112*L112</f>
        <v>126</v>
      </c>
      <c r="O112" s="64">
        <v>225</v>
      </c>
      <c r="P112" s="64">
        <f t="shared" ref="P112:P114" si="114">O112*I112</f>
        <v>225</v>
      </c>
      <c r="Q112" s="65">
        <f t="shared" ref="Q112:Q114" si="115">P112+N112</f>
        <v>351</v>
      </c>
      <c r="R112" s="132"/>
      <c r="S112" s="170">
        <f t="shared" ref="S112:S114" si="116">((((N112*(1+$D$7))+(P112*(1+$D$5+$D$6)))*(1+$D$8)))/I112</f>
        <v>445.7194874999999</v>
      </c>
      <c r="T112" s="169">
        <f t="shared" ref="T112:T114" si="117">S112*I112</f>
        <v>445.7194874999999</v>
      </c>
    </row>
    <row r="113" spans="1:20" s="7" customFormat="1" ht="15.6" customHeight="1" x14ac:dyDescent="0.25">
      <c r="A113" s="131">
        <f>IF(J113&lt;&gt;"",1+MAX($A$19:A112),"")</f>
        <v>62</v>
      </c>
      <c r="B113" s="53"/>
      <c r="C113" s="53"/>
      <c r="D113" s="106" t="s">
        <v>65</v>
      </c>
      <c r="E113" s="183" t="s">
        <v>107</v>
      </c>
      <c r="F113" s="179" t="s">
        <v>775</v>
      </c>
      <c r="G113" s="123">
        <v>1</v>
      </c>
      <c r="H113" s="55">
        <f>IF(VLOOKUP(J113,'HOURLY RATES'!B$116:C$124,2,0)=0,$J$3,VLOOKUP(J113,'HOURLY RATES'!B$116:C$124,2,0))</f>
        <v>0</v>
      </c>
      <c r="I113" s="56">
        <f t="shared" si="111"/>
        <v>1</v>
      </c>
      <c r="J113" s="105" t="s">
        <v>251</v>
      </c>
      <c r="K113" s="394">
        <v>3.45</v>
      </c>
      <c r="L113" s="63">
        <f t="shared" si="112"/>
        <v>3.45</v>
      </c>
      <c r="M113" s="61">
        <f>IF(VLOOKUP(E113,'HOURLY RATES'!C$6:D$105,2,0)=0,$E$3,VLOOKUP(E113,'HOURLY RATES'!C$6:D$105,2,0))</f>
        <v>60</v>
      </c>
      <c r="N113" s="61">
        <f t="shared" si="113"/>
        <v>207</v>
      </c>
      <c r="O113" s="64">
        <v>585</v>
      </c>
      <c r="P113" s="64">
        <f t="shared" si="114"/>
        <v>585</v>
      </c>
      <c r="Q113" s="65">
        <f t="shared" si="115"/>
        <v>792</v>
      </c>
      <c r="R113" s="132"/>
      <c r="S113" s="170">
        <f t="shared" si="116"/>
        <v>1011.9798674999997</v>
      </c>
      <c r="T113" s="169">
        <f t="shared" si="117"/>
        <v>1011.9798674999997</v>
      </c>
    </row>
    <row r="114" spans="1:20" s="7" customFormat="1" ht="15.6" customHeight="1" x14ac:dyDescent="0.25">
      <c r="A114" s="131">
        <f>IF(J114&lt;&gt;"",1+MAX($A$19:A113),"")</f>
        <v>63</v>
      </c>
      <c r="B114" s="53"/>
      <c r="C114" s="53"/>
      <c r="D114" s="106" t="s">
        <v>65</v>
      </c>
      <c r="E114" s="183" t="s">
        <v>107</v>
      </c>
      <c r="F114" s="179" t="s">
        <v>902</v>
      </c>
      <c r="G114" s="123">
        <v>1</v>
      </c>
      <c r="H114" s="55">
        <f>IF(VLOOKUP(J114,'HOURLY RATES'!B$116:C$124,2,0)=0,$J$3,VLOOKUP(J114,'HOURLY RATES'!B$116:C$124,2,0))</f>
        <v>0</v>
      </c>
      <c r="I114" s="56">
        <f t="shared" si="111"/>
        <v>1</v>
      </c>
      <c r="J114" s="105" t="s">
        <v>251</v>
      </c>
      <c r="K114" s="394">
        <v>3.4</v>
      </c>
      <c r="L114" s="63">
        <f t="shared" si="112"/>
        <v>3.4</v>
      </c>
      <c r="M114" s="61">
        <f>IF(VLOOKUP(E114,'HOURLY RATES'!C$6:D$105,2,0)=0,$E$3,VLOOKUP(E114,'HOURLY RATES'!C$6:D$105,2,0))</f>
        <v>60</v>
      </c>
      <c r="N114" s="61">
        <f t="shared" si="113"/>
        <v>204</v>
      </c>
      <c r="O114" s="64">
        <v>545</v>
      </c>
      <c r="P114" s="64">
        <f t="shared" si="114"/>
        <v>545</v>
      </c>
      <c r="Q114" s="65">
        <f t="shared" si="115"/>
        <v>749</v>
      </c>
      <c r="R114" s="132"/>
      <c r="S114" s="170">
        <f t="shared" si="116"/>
        <v>956.37004749999971</v>
      </c>
      <c r="T114" s="169">
        <f t="shared" si="117"/>
        <v>956.37004749999971</v>
      </c>
    </row>
    <row r="115" spans="1:20" s="7" customFormat="1" ht="15.6" customHeight="1" x14ac:dyDescent="0.25">
      <c r="A115" s="131">
        <f>IF(J115&lt;&gt;"",1+MAX($A$19:A114),"")</f>
        <v>64</v>
      </c>
      <c r="B115" s="53"/>
      <c r="C115" s="53"/>
      <c r="D115" s="106" t="s">
        <v>65</v>
      </c>
      <c r="E115" s="183" t="s">
        <v>107</v>
      </c>
      <c r="F115" s="179" t="s">
        <v>934</v>
      </c>
      <c r="G115" s="123">
        <v>23</v>
      </c>
      <c r="H115" s="55">
        <f>IF(VLOOKUP(J115,'HOURLY RATES'!B$116:C$124,2,0)=0,$J$3,VLOOKUP(J115,'HOURLY RATES'!B$116:C$124,2,0))</f>
        <v>0</v>
      </c>
      <c r="I115" s="56">
        <f t="shared" ref="I115" si="118">(G115*(1+H115))</f>
        <v>23</v>
      </c>
      <c r="J115" s="105" t="s">
        <v>251</v>
      </c>
      <c r="K115" s="394">
        <v>4.2300000000000004</v>
      </c>
      <c r="L115" s="63">
        <f t="shared" ref="L115" si="119">K115*I115</f>
        <v>97.29</v>
      </c>
      <c r="M115" s="61">
        <f>IF(VLOOKUP(E115,'HOURLY RATES'!C$6:D$105,2,0)=0,$E$3,VLOOKUP(E115,'HOURLY RATES'!C$6:D$105,2,0))</f>
        <v>60</v>
      </c>
      <c r="N115" s="61">
        <f t="shared" ref="N115" si="120">M115*L115</f>
        <v>5837.4000000000005</v>
      </c>
      <c r="O115" s="64">
        <v>1850</v>
      </c>
      <c r="P115" s="64">
        <f t="shared" ref="P115" si="121">O115*I115</f>
        <v>42550</v>
      </c>
      <c r="Q115" s="65">
        <f t="shared" ref="Q115" si="122">P115+N115</f>
        <v>48387.4</v>
      </c>
      <c r="R115" s="132"/>
      <c r="S115" s="170">
        <f t="shared" ref="S115" si="123">((((N115*(1+$D$7))+(P115*(1+$D$5+$D$6)))*(1+$D$8)))/I115</f>
        <v>2712.0850749999991</v>
      </c>
      <c r="T115" s="169">
        <f t="shared" ref="T115" si="124">S115*I115</f>
        <v>62377.956724999982</v>
      </c>
    </row>
    <row r="116" spans="1:20" s="7" customFormat="1" x14ac:dyDescent="0.25">
      <c r="A116" s="131" t="str">
        <f>IF(J116&lt;&gt;"",1+MAX($A$19:A115),"")</f>
        <v/>
      </c>
      <c r="B116" s="53"/>
      <c r="C116" s="66"/>
      <c r="D116" s="106"/>
      <c r="E116" s="183"/>
      <c r="F116" s="179"/>
      <c r="G116" s="54"/>
      <c r="H116" s="55"/>
      <c r="I116" s="56"/>
      <c r="J116" s="105"/>
      <c r="K116" s="394"/>
      <c r="L116" s="63"/>
      <c r="M116" s="61"/>
      <c r="N116" s="61"/>
      <c r="O116" s="64"/>
      <c r="P116" s="64"/>
      <c r="Q116" s="65"/>
      <c r="R116" s="132"/>
      <c r="S116" s="170"/>
      <c r="T116" s="169"/>
    </row>
    <row r="117" spans="1:20" s="7" customFormat="1" x14ac:dyDescent="0.25">
      <c r="A117" s="131" t="str">
        <f>IF(J117&lt;&gt;"",1+MAX($A$19:A116),"")</f>
        <v/>
      </c>
      <c r="B117" s="53"/>
      <c r="C117" s="66"/>
      <c r="D117" s="106"/>
      <c r="E117" s="183"/>
      <c r="F117" s="176" t="s">
        <v>257</v>
      </c>
      <c r="G117" s="54"/>
      <c r="H117" s="55"/>
      <c r="I117" s="56"/>
      <c r="J117" s="105"/>
      <c r="K117" s="394"/>
      <c r="L117" s="63"/>
      <c r="M117" s="61"/>
      <c r="N117" s="61"/>
      <c r="O117" s="64"/>
      <c r="P117" s="64"/>
      <c r="Q117" s="65"/>
      <c r="R117" s="132"/>
      <c r="S117" s="170"/>
      <c r="T117" s="169"/>
    </row>
    <row r="118" spans="1:20" s="7" customFormat="1" ht="31.2" x14ac:dyDescent="0.25">
      <c r="A118" s="131">
        <f>IF(J118&lt;&gt;"",1+MAX($A$19:A117),"")</f>
        <v>65</v>
      </c>
      <c r="B118" s="53"/>
      <c r="C118" s="53"/>
      <c r="D118" s="106" t="s">
        <v>65</v>
      </c>
      <c r="E118" s="183" t="s">
        <v>107</v>
      </c>
      <c r="F118" s="179" t="s">
        <v>862</v>
      </c>
      <c r="G118" s="54">
        <v>1</v>
      </c>
      <c r="H118" s="55">
        <f>IF(VLOOKUP(J118,'HOURLY RATES'!B$116:C$124,2,0)=0,$J$3,VLOOKUP(J118,'HOURLY RATES'!B$116:C$124,2,0))</f>
        <v>0</v>
      </c>
      <c r="I118" s="56">
        <f t="shared" ref="I118:I119" si="125">(G118*(1+H118))</f>
        <v>1</v>
      </c>
      <c r="J118" s="105" t="s">
        <v>251</v>
      </c>
      <c r="K118" s="394">
        <v>4.12</v>
      </c>
      <c r="L118" s="63">
        <f t="shared" ref="L118:L119" si="126">K118*I118</f>
        <v>4.12</v>
      </c>
      <c r="M118" s="61">
        <f>IF(VLOOKUP(E118,'HOURLY RATES'!C$6:D$105,2,0)=0,$E$3,VLOOKUP(E118,'HOURLY RATES'!C$6:D$105,2,0))</f>
        <v>60</v>
      </c>
      <c r="N118" s="61">
        <f t="shared" ref="N118:N119" si="127">M118*L118</f>
        <v>247.20000000000002</v>
      </c>
      <c r="O118" s="64">
        <v>1150</v>
      </c>
      <c r="P118" s="64">
        <f t="shared" ref="P118:P119" si="128">O118*I118</f>
        <v>1150</v>
      </c>
      <c r="Q118" s="65">
        <f t="shared" ref="Q118:Q119" si="129">P118+N118</f>
        <v>1397.2</v>
      </c>
      <c r="R118" s="132"/>
      <c r="S118" s="170">
        <f t="shared" ref="S118:S119" si="130">((((N118*(1+$D$7))+(P118*(1+$D$5+$D$6)))*(1+$D$8)))/I118</f>
        <v>1794.8194249999995</v>
      </c>
      <c r="T118" s="169">
        <f t="shared" ref="T118:T119" si="131">S118*I118</f>
        <v>1794.8194249999995</v>
      </c>
    </row>
    <row r="119" spans="1:20" s="7" customFormat="1" x14ac:dyDescent="0.25">
      <c r="A119" s="131">
        <f>IF(J119&lt;&gt;"",1+MAX($A$19:A118),"")</f>
        <v>66</v>
      </c>
      <c r="B119" s="53"/>
      <c r="C119" s="53"/>
      <c r="D119" s="106" t="s">
        <v>65</v>
      </c>
      <c r="E119" s="183" t="s">
        <v>107</v>
      </c>
      <c r="F119" s="179" t="s">
        <v>903</v>
      </c>
      <c r="G119" s="54">
        <v>1</v>
      </c>
      <c r="H119" s="55">
        <f>IF(VLOOKUP(J119,'HOURLY RATES'!B$116:C$124,2,0)=0,$J$3,VLOOKUP(J119,'HOURLY RATES'!B$116:C$124,2,0))</f>
        <v>0</v>
      </c>
      <c r="I119" s="56">
        <f t="shared" si="125"/>
        <v>1</v>
      </c>
      <c r="J119" s="105" t="s">
        <v>251</v>
      </c>
      <c r="K119" s="394">
        <v>4.5599999999999996</v>
      </c>
      <c r="L119" s="63">
        <f t="shared" si="126"/>
        <v>4.5599999999999996</v>
      </c>
      <c r="M119" s="61">
        <f>IF(VLOOKUP(E119,'HOURLY RATES'!C$6:D$105,2,0)=0,$E$3,VLOOKUP(E119,'HOURLY RATES'!C$6:D$105,2,0))</f>
        <v>60</v>
      </c>
      <c r="N119" s="61">
        <f t="shared" si="127"/>
        <v>273.59999999999997</v>
      </c>
      <c r="O119" s="64">
        <v>1650</v>
      </c>
      <c r="P119" s="64">
        <f t="shared" si="128"/>
        <v>1650</v>
      </c>
      <c r="Q119" s="65">
        <f t="shared" si="129"/>
        <v>1923.6</v>
      </c>
      <c r="R119" s="132"/>
      <c r="S119" s="170">
        <f t="shared" si="130"/>
        <v>2476.4223749999996</v>
      </c>
      <c r="T119" s="169">
        <f t="shared" si="131"/>
        <v>2476.4223749999996</v>
      </c>
    </row>
    <row r="120" spans="1:20" s="7" customFormat="1" x14ac:dyDescent="0.25">
      <c r="A120" s="131">
        <f>IF(J120&lt;&gt;"",1+MAX($A$19:A119),"")</f>
        <v>67</v>
      </c>
      <c r="B120" s="53"/>
      <c r="C120" s="53"/>
      <c r="D120" s="106" t="s">
        <v>65</v>
      </c>
      <c r="E120" s="183" t="s">
        <v>107</v>
      </c>
      <c r="F120" s="179" t="s">
        <v>956</v>
      </c>
      <c r="G120" s="54">
        <v>1</v>
      </c>
      <c r="H120" s="55">
        <f>IF(VLOOKUP(J120,'HOURLY RATES'!B$116:C$124,2,0)=0,$J$3,VLOOKUP(J120,'HOURLY RATES'!B$116:C$124,2,0))</f>
        <v>0</v>
      </c>
      <c r="I120" s="56">
        <f t="shared" ref="I120" si="132">(G120*(1+H120))</f>
        <v>1</v>
      </c>
      <c r="J120" s="105" t="s">
        <v>251</v>
      </c>
      <c r="K120" s="394">
        <v>6</v>
      </c>
      <c r="L120" s="63">
        <f t="shared" ref="L120" si="133">K120*I120</f>
        <v>6</v>
      </c>
      <c r="M120" s="61">
        <f>IF(VLOOKUP(E120,'HOURLY RATES'!C$6:D$105,2,0)=0,$E$3,VLOOKUP(E120,'HOURLY RATES'!C$6:D$105,2,0))</f>
        <v>60</v>
      </c>
      <c r="N120" s="61">
        <f t="shared" ref="N120" si="134">M120*L120</f>
        <v>360</v>
      </c>
      <c r="O120" s="64">
        <v>2250</v>
      </c>
      <c r="P120" s="64">
        <f t="shared" ref="P120" si="135">O120*I120</f>
        <v>2250</v>
      </c>
      <c r="Q120" s="65">
        <f t="shared" ref="Q120" si="136">P120+N120</f>
        <v>2610</v>
      </c>
      <c r="R120" s="132"/>
      <c r="S120" s="170">
        <f t="shared" ref="S120" si="137">((((N120*(1+$D$7))+(P120*(1+$D$5+$D$6)))*(1+$D$8)))/I120</f>
        <v>3360.9948749999994</v>
      </c>
      <c r="T120" s="169">
        <f t="shared" ref="T120" si="138">S120*I120</f>
        <v>3360.9948749999994</v>
      </c>
    </row>
    <row r="121" spans="1:20" s="7" customFormat="1" x14ac:dyDescent="0.25">
      <c r="A121" s="131" t="str">
        <f>IF(J121&lt;&gt;"",1+MAX($A$19:A120),"")</f>
        <v/>
      </c>
      <c r="B121" s="53"/>
      <c r="C121" s="53"/>
      <c r="D121" s="106"/>
      <c r="E121" s="183"/>
      <c r="F121" s="179" t="s">
        <v>248</v>
      </c>
      <c r="G121" s="54"/>
      <c r="H121" s="55"/>
      <c r="I121" s="56"/>
      <c r="J121" s="105"/>
      <c r="K121" s="394"/>
      <c r="L121" s="63"/>
      <c r="M121" s="61"/>
      <c r="N121" s="61"/>
      <c r="O121" s="64"/>
      <c r="P121" s="64"/>
      <c r="Q121" s="65"/>
      <c r="R121" s="132"/>
      <c r="S121" s="170"/>
      <c r="T121" s="169"/>
    </row>
    <row r="122" spans="1:20" s="7" customFormat="1" x14ac:dyDescent="0.25">
      <c r="A122" s="131" t="str">
        <f>IF(J122&lt;&gt;"",1+MAX($A$19:A121),"")</f>
        <v/>
      </c>
      <c r="B122" s="53"/>
      <c r="C122" s="66"/>
      <c r="D122" s="106"/>
      <c r="E122" s="183"/>
      <c r="F122" s="176" t="s">
        <v>751</v>
      </c>
      <c r="G122" s="54"/>
      <c r="H122" s="55"/>
      <c r="I122" s="56"/>
      <c r="J122" s="105"/>
      <c r="K122" s="394"/>
      <c r="L122" s="63"/>
      <c r="M122" s="61"/>
      <c r="N122" s="61"/>
      <c r="O122" s="64"/>
      <c r="P122" s="64"/>
      <c r="Q122" s="65"/>
      <c r="R122" s="132"/>
      <c r="S122" s="170"/>
      <c r="T122" s="169"/>
    </row>
    <row r="123" spans="1:20" s="7" customFormat="1" x14ac:dyDescent="0.25">
      <c r="A123" s="131">
        <f>IF(J123&lt;&gt;"",1+MAX($A$19:A122),"")</f>
        <v>68</v>
      </c>
      <c r="B123" s="53"/>
      <c r="C123" s="53"/>
      <c r="D123" s="106" t="s">
        <v>65</v>
      </c>
      <c r="E123" s="183" t="s">
        <v>107</v>
      </c>
      <c r="F123" s="179" t="s">
        <v>863</v>
      </c>
      <c r="G123" s="54">
        <v>1</v>
      </c>
      <c r="H123" s="55">
        <f>IF(VLOOKUP(J123,'HOURLY RATES'!B$116:C$124,2,0)=0,$J$3,VLOOKUP(J123,'HOURLY RATES'!B$116:C$124,2,0))</f>
        <v>0</v>
      </c>
      <c r="I123" s="56">
        <f t="shared" ref="I123:I124" si="139">(G123*(1+H123))</f>
        <v>1</v>
      </c>
      <c r="J123" s="105" t="s">
        <v>251</v>
      </c>
      <c r="K123" s="394">
        <v>4.12</v>
      </c>
      <c r="L123" s="63">
        <f t="shared" ref="L123:L124" si="140">K123*I123</f>
        <v>4.12</v>
      </c>
      <c r="M123" s="61">
        <f>IF(VLOOKUP(E123,'HOURLY RATES'!C$6:D$105,2,0)=0,$E$3,VLOOKUP(E123,'HOURLY RATES'!C$6:D$105,2,0))</f>
        <v>60</v>
      </c>
      <c r="N123" s="61">
        <f t="shared" ref="N123:N124" si="141">M123*L123</f>
        <v>247.20000000000002</v>
      </c>
      <c r="O123" s="64">
        <v>1250</v>
      </c>
      <c r="P123" s="64">
        <f t="shared" ref="P123:P124" si="142">O123*I123</f>
        <v>1250</v>
      </c>
      <c r="Q123" s="65">
        <f t="shared" ref="Q123:Q124" si="143">P123+N123</f>
        <v>1497.2</v>
      </c>
      <c r="R123" s="132"/>
      <c r="S123" s="170">
        <f t="shared" ref="S123:S124" si="144">((((N123*(1+$D$7))+(P123*(1+$D$5+$D$6)))*(1+$D$8)))/I123</f>
        <v>1924.7089749999998</v>
      </c>
      <c r="T123" s="169">
        <f t="shared" ref="T123:T124" si="145">S123*I123</f>
        <v>1924.7089749999998</v>
      </c>
    </row>
    <row r="124" spans="1:20" s="7" customFormat="1" x14ac:dyDescent="0.25">
      <c r="A124" s="131">
        <f>IF(J124&lt;&gt;"",1+MAX($A$19:A123),"")</f>
        <v>69</v>
      </c>
      <c r="B124" s="53"/>
      <c r="C124" s="53"/>
      <c r="D124" s="106" t="s">
        <v>65</v>
      </c>
      <c r="E124" s="183" t="s">
        <v>107</v>
      </c>
      <c r="F124" s="179" t="s">
        <v>864</v>
      </c>
      <c r="G124" s="54">
        <v>42</v>
      </c>
      <c r="H124" s="55">
        <f>IF(VLOOKUP(J124,'HOURLY RATES'!B$116:C$124,2,0)=0,$J$3,VLOOKUP(J124,'HOURLY RATES'!B$116:C$124,2,0))</f>
        <v>0</v>
      </c>
      <c r="I124" s="56">
        <f t="shared" si="139"/>
        <v>42</v>
      </c>
      <c r="J124" s="105" t="s">
        <v>251</v>
      </c>
      <c r="K124" s="394">
        <v>0.21199999999999999</v>
      </c>
      <c r="L124" s="63">
        <f t="shared" si="140"/>
        <v>8.9039999999999999</v>
      </c>
      <c r="M124" s="61">
        <f>IF(VLOOKUP(E124,'HOURLY RATES'!C$6:D$105,2,0)=0,$E$3,VLOOKUP(E124,'HOURLY RATES'!C$6:D$105,2,0))</f>
        <v>60</v>
      </c>
      <c r="N124" s="61">
        <f t="shared" si="141"/>
        <v>534.24</v>
      </c>
      <c r="O124" s="64">
        <v>22</v>
      </c>
      <c r="P124" s="64">
        <f t="shared" si="142"/>
        <v>924</v>
      </c>
      <c r="Q124" s="65">
        <f t="shared" si="143"/>
        <v>1458.24</v>
      </c>
      <c r="R124" s="132"/>
      <c r="S124" s="170">
        <f t="shared" si="144"/>
        <v>44.068660999999985</v>
      </c>
      <c r="T124" s="169">
        <f t="shared" si="145"/>
        <v>1850.8837619999993</v>
      </c>
    </row>
    <row r="125" spans="1:20" s="7" customFormat="1" x14ac:dyDescent="0.25">
      <c r="A125" s="131" t="str">
        <f>IF(J125&lt;&gt;"",1+MAX($A$19:A124),"")</f>
        <v/>
      </c>
      <c r="B125" s="53"/>
      <c r="C125" s="53"/>
      <c r="D125" s="106"/>
      <c r="E125" s="183"/>
      <c r="F125" s="179" t="s">
        <v>248</v>
      </c>
      <c r="G125" s="54"/>
      <c r="H125" s="55"/>
      <c r="I125" s="56"/>
      <c r="J125" s="105"/>
      <c r="K125" s="394"/>
      <c r="L125" s="63"/>
      <c r="M125" s="61"/>
      <c r="N125" s="61"/>
      <c r="O125" s="64"/>
      <c r="P125" s="64"/>
      <c r="Q125" s="65"/>
      <c r="R125" s="132"/>
      <c r="S125" s="170"/>
      <c r="T125" s="169"/>
    </row>
    <row r="126" spans="1:20" s="7" customFormat="1" x14ac:dyDescent="0.25">
      <c r="A126" s="131" t="str">
        <f>IF(J126&lt;&gt;"",1+MAX($A$19:A125),"")</f>
        <v/>
      </c>
      <c r="B126" s="53"/>
      <c r="C126" s="66"/>
      <c r="D126" s="106"/>
      <c r="E126" s="183"/>
      <c r="F126" s="176" t="s">
        <v>945</v>
      </c>
      <c r="G126" s="54"/>
      <c r="H126" s="55"/>
      <c r="I126" s="56"/>
      <c r="J126" s="105"/>
      <c r="K126" s="394"/>
      <c r="L126" s="63"/>
      <c r="M126" s="61"/>
      <c r="N126" s="61"/>
      <c r="O126" s="64"/>
      <c r="P126" s="64"/>
      <c r="Q126" s="65"/>
      <c r="R126" s="132"/>
      <c r="S126" s="170"/>
      <c r="T126" s="169"/>
    </row>
    <row r="127" spans="1:20" s="7" customFormat="1" x14ac:dyDescent="0.25">
      <c r="A127" s="131">
        <f>IF(J127&lt;&gt;"",1+MAX($A$19:A126),"")</f>
        <v>70</v>
      </c>
      <c r="B127" s="53"/>
      <c r="C127" s="53"/>
      <c r="D127" s="106" t="s">
        <v>65</v>
      </c>
      <c r="E127" s="183" t="s">
        <v>107</v>
      </c>
      <c r="F127" s="179" t="s">
        <v>904</v>
      </c>
      <c r="G127" s="54">
        <v>1</v>
      </c>
      <c r="H127" s="55">
        <f>IF(VLOOKUP(J127,'HOURLY RATES'!B$116:C$124,2,0)=0,$J$3,VLOOKUP(J127,'HOURLY RATES'!B$116:C$124,2,0))</f>
        <v>0</v>
      </c>
      <c r="I127" s="56">
        <f t="shared" ref="I127:I130" si="146">(G127*(1+H127))</f>
        <v>1</v>
      </c>
      <c r="J127" s="105" t="s">
        <v>251</v>
      </c>
      <c r="K127" s="394">
        <v>2.3654999999999999</v>
      </c>
      <c r="L127" s="63">
        <f t="shared" ref="L127:L130" si="147">K127*I127</f>
        <v>2.3654999999999999</v>
      </c>
      <c r="M127" s="61">
        <f>IF(VLOOKUP(E127,'HOURLY RATES'!C$6:D$105,2,0)=0,$E$3,VLOOKUP(E127,'HOURLY RATES'!C$6:D$105,2,0))</f>
        <v>60</v>
      </c>
      <c r="N127" s="61">
        <f t="shared" ref="N127:N130" si="148">M127*L127</f>
        <v>141.93</v>
      </c>
      <c r="O127" s="64">
        <v>285</v>
      </c>
      <c r="P127" s="64">
        <f t="shared" ref="P127:P130" si="149">O127*I127</f>
        <v>285</v>
      </c>
      <c r="Q127" s="65">
        <f t="shared" ref="Q127:Q130" si="150">P127+N127</f>
        <v>426.93</v>
      </c>
      <c r="R127" s="132"/>
      <c r="S127" s="170">
        <f t="shared" ref="S127:S130" si="151">((((N127*(1+$D$7))+(P127*(1+$D$5+$D$6)))*(1+$D$8)))/I127</f>
        <v>543.05595749999986</v>
      </c>
      <c r="T127" s="169">
        <f t="shared" ref="T127:T130" si="152">S127*I127</f>
        <v>543.05595749999986</v>
      </c>
    </row>
    <row r="128" spans="1:20" s="7" customFormat="1" x14ac:dyDescent="0.25">
      <c r="A128" s="131">
        <f>IF(J128&lt;&gt;"",1+MAX($A$19:A127),"")</f>
        <v>71</v>
      </c>
      <c r="B128" s="53"/>
      <c r="C128" s="53"/>
      <c r="D128" s="106" t="s">
        <v>65</v>
      </c>
      <c r="E128" s="183" t="s">
        <v>107</v>
      </c>
      <c r="F128" s="179" t="s">
        <v>905</v>
      </c>
      <c r="G128" s="54">
        <v>1</v>
      </c>
      <c r="H128" s="55">
        <f>IF(VLOOKUP(J128,'HOURLY RATES'!B$116:C$124,2,0)=0,$J$3,VLOOKUP(J128,'HOURLY RATES'!B$116:C$124,2,0))</f>
        <v>0</v>
      </c>
      <c r="I128" s="56">
        <f t="shared" ref="I128:I129" si="153">(G128*(1+H128))</f>
        <v>1</v>
      </c>
      <c r="J128" s="105" t="s">
        <v>251</v>
      </c>
      <c r="K128" s="394">
        <v>0.53949999999999998</v>
      </c>
      <c r="L128" s="63">
        <f t="shared" ref="L128:L129" si="154">K128*I128</f>
        <v>0.53949999999999998</v>
      </c>
      <c r="M128" s="61">
        <f>IF(VLOOKUP(E128,'HOURLY RATES'!C$6:D$105,2,0)=0,$E$3,VLOOKUP(E128,'HOURLY RATES'!C$6:D$105,2,0))</f>
        <v>60</v>
      </c>
      <c r="N128" s="61">
        <f t="shared" ref="N128:N129" si="155">M128*L128</f>
        <v>32.369999999999997</v>
      </c>
      <c r="O128" s="64">
        <v>65</v>
      </c>
      <c r="P128" s="64">
        <f t="shared" ref="P128:P129" si="156">O128*I128</f>
        <v>65</v>
      </c>
      <c r="Q128" s="65">
        <f t="shared" ref="Q128:Q129" si="157">P128+N128</f>
        <v>97.37</v>
      </c>
      <c r="R128" s="132"/>
      <c r="S128" s="170">
        <f t="shared" ref="S128:S129" si="158">((((N128*(1+$D$7))+(P128*(1+$D$5+$D$6)))*(1+$D$8)))/I128</f>
        <v>123.85486749999998</v>
      </c>
      <c r="T128" s="169">
        <f t="shared" ref="T128:T129" si="159">S128*I128</f>
        <v>123.85486749999998</v>
      </c>
    </row>
    <row r="129" spans="1:20" s="7" customFormat="1" x14ac:dyDescent="0.25">
      <c r="A129" s="131">
        <f>IF(J129&lt;&gt;"",1+MAX($A$19:A128),"")</f>
        <v>72</v>
      </c>
      <c r="B129" s="53"/>
      <c r="C129" s="53"/>
      <c r="D129" s="106" t="s">
        <v>65</v>
      </c>
      <c r="E129" s="183" t="s">
        <v>107</v>
      </c>
      <c r="F129" s="179" t="s">
        <v>906</v>
      </c>
      <c r="G129" s="54">
        <v>1</v>
      </c>
      <c r="H129" s="55">
        <f>IF(VLOOKUP(J129,'HOURLY RATES'!B$116:C$124,2,0)=0,$J$3,VLOOKUP(J129,'HOURLY RATES'!B$116:C$124,2,0))</f>
        <v>0</v>
      </c>
      <c r="I129" s="56">
        <f t="shared" si="153"/>
        <v>1</v>
      </c>
      <c r="J129" s="105" t="s">
        <v>251</v>
      </c>
      <c r="K129" s="394">
        <v>0.39839999999999998</v>
      </c>
      <c r="L129" s="63">
        <f t="shared" si="154"/>
        <v>0.39839999999999998</v>
      </c>
      <c r="M129" s="61">
        <f>IF(VLOOKUP(E129,'HOURLY RATES'!C$6:D$105,2,0)=0,$E$3,VLOOKUP(E129,'HOURLY RATES'!C$6:D$105,2,0))</f>
        <v>60</v>
      </c>
      <c r="N129" s="61">
        <f t="shared" si="155"/>
        <v>23.904</v>
      </c>
      <c r="O129" s="64">
        <v>48</v>
      </c>
      <c r="P129" s="64">
        <f t="shared" si="156"/>
        <v>48</v>
      </c>
      <c r="Q129" s="65">
        <f t="shared" si="157"/>
        <v>71.903999999999996</v>
      </c>
      <c r="R129" s="132"/>
      <c r="S129" s="170">
        <f t="shared" si="158"/>
        <v>91.462055999999976</v>
      </c>
      <c r="T129" s="169">
        <f t="shared" si="159"/>
        <v>91.462055999999976</v>
      </c>
    </row>
    <row r="130" spans="1:20" s="7" customFormat="1" x14ac:dyDescent="0.25">
      <c r="A130" s="131">
        <f>IF(J130&lt;&gt;"",1+MAX($A$19:A129),"")</f>
        <v>73</v>
      </c>
      <c r="B130" s="53"/>
      <c r="C130" s="53"/>
      <c r="D130" s="106" t="s">
        <v>65</v>
      </c>
      <c r="E130" s="183" t="s">
        <v>107</v>
      </c>
      <c r="F130" s="179" t="s">
        <v>944</v>
      </c>
      <c r="G130" s="54">
        <v>1</v>
      </c>
      <c r="H130" s="55">
        <f>IF(VLOOKUP(J130,'HOURLY RATES'!B$116:C$124,2,0)=0,$J$3,VLOOKUP(J130,'HOURLY RATES'!B$116:C$124,2,0))</f>
        <v>0</v>
      </c>
      <c r="I130" s="56">
        <f t="shared" si="146"/>
        <v>1</v>
      </c>
      <c r="J130" s="105" t="s">
        <v>251</v>
      </c>
      <c r="K130" s="394">
        <v>1.0375000000000001</v>
      </c>
      <c r="L130" s="63">
        <f t="shared" si="147"/>
        <v>1.0375000000000001</v>
      </c>
      <c r="M130" s="61">
        <f>IF(VLOOKUP(E130,'HOURLY RATES'!C$6:D$105,2,0)=0,$E$3,VLOOKUP(E130,'HOURLY RATES'!C$6:D$105,2,0))</f>
        <v>60</v>
      </c>
      <c r="N130" s="61">
        <f t="shared" si="148"/>
        <v>62.250000000000007</v>
      </c>
      <c r="O130" s="64">
        <v>125</v>
      </c>
      <c r="P130" s="64">
        <f t="shared" si="149"/>
        <v>125</v>
      </c>
      <c r="Q130" s="65">
        <f t="shared" si="150"/>
        <v>187.25</v>
      </c>
      <c r="R130" s="132"/>
      <c r="S130" s="170">
        <f t="shared" si="151"/>
        <v>238.18243749999993</v>
      </c>
      <c r="T130" s="169">
        <f t="shared" si="152"/>
        <v>238.18243749999993</v>
      </c>
    </row>
    <row r="131" spans="1:20" s="7" customFormat="1" x14ac:dyDescent="0.25">
      <c r="A131" s="131" t="str">
        <f>IF(J131&lt;&gt;"",1+MAX($A$19:A130),"")</f>
        <v/>
      </c>
      <c r="B131" s="53"/>
      <c r="C131" s="53"/>
      <c r="D131" s="106"/>
      <c r="E131" s="183"/>
      <c r="F131" s="179" t="s">
        <v>248</v>
      </c>
      <c r="G131" s="54"/>
      <c r="H131" s="55"/>
      <c r="I131" s="56"/>
      <c r="J131" s="105"/>
      <c r="K131" s="394"/>
      <c r="L131" s="63"/>
      <c r="M131" s="61"/>
      <c r="N131" s="61"/>
      <c r="O131" s="64"/>
      <c r="P131" s="64"/>
      <c r="Q131" s="65"/>
      <c r="R131" s="132"/>
      <c r="S131" s="170"/>
      <c r="T131" s="169"/>
    </row>
    <row r="132" spans="1:20" s="7" customFormat="1" x14ac:dyDescent="0.25">
      <c r="A132" s="131" t="str">
        <f>IF(J132&lt;&gt;"",1+MAX($A$19:A131),"")</f>
        <v/>
      </c>
      <c r="B132" s="53"/>
      <c r="C132" s="66"/>
      <c r="D132" s="106"/>
      <c r="E132" s="183"/>
      <c r="F132" s="176" t="s">
        <v>794</v>
      </c>
      <c r="G132" s="54"/>
      <c r="H132" s="55"/>
      <c r="I132" s="56"/>
      <c r="J132" s="105"/>
      <c r="K132" s="394"/>
      <c r="L132" s="63"/>
      <c r="M132" s="61"/>
      <c r="N132" s="61"/>
      <c r="O132" s="64"/>
      <c r="P132" s="64"/>
      <c r="Q132" s="65"/>
      <c r="R132" s="132"/>
      <c r="S132" s="170"/>
      <c r="T132" s="169"/>
    </row>
    <row r="133" spans="1:20" s="7" customFormat="1" ht="46.8" x14ac:dyDescent="0.25">
      <c r="A133" s="131">
        <f>IF(J133&lt;&gt;"",1+MAX($A$19:A132),"")</f>
        <v>74</v>
      </c>
      <c r="B133" s="53"/>
      <c r="C133" s="53"/>
      <c r="D133" s="106" t="s">
        <v>65</v>
      </c>
      <c r="E133" s="183" t="s">
        <v>107</v>
      </c>
      <c r="F133" s="179" t="s">
        <v>865</v>
      </c>
      <c r="G133" s="54">
        <v>1</v>
      </c>
      <c r="H133" s="55">
        <f>IF(VLOOKUP(J133,'HOURLY RATES'!B$116:C$124,2,0)=0,$J$3,VLOOKUP(J133,'HOURLY RATES'!B$116:C$124,2,0))</f>
        <v>0</v>
      </c>
      <c r="I133" s="56">
        <f t="shared" ref="I133:I135" si="160">(G133*(1+H133))</f>
        <v>1</v>
      </c>
      <c r="J133" s="105" t="s">
        <v>251</v>
      </c>
      <c r="K133" s="394">
        <v>4.5</v>
      </c>
      <c r="L133" s="63">
        <f t="shared" ref="L133:L135" si="161">K133*I133</f>
        <v>4.5</v>
      </c>
      <c r="M133" s="61">
        <f>IF(VLOOKUP(E133,'HOURLY RATES'!C$6:D$105,2,0)=0,$E$3,VLOOKUP(E133,'HOURLY RATES'!C$6:D$105,2,0))</f>
        <v>60</v>
      </c>
      <c r="N133" s="61">
        <f t="shared" ref="N133:N135" si="162">M133*L133</f>
        <v>270</v>
      </c>
      <c r="O133" s="400">
        <v>0</v>
      </c>
      <c r="P133" s="64">
        <f t="shared" ref="P133:P135" si="163">O133*I133</f>
        <v>0</v>
      </c>
      <c r="Q133" s="65">
        <f t="shared" ref="Q133:Q135" si="164">P133+N133</f>
        <v>270</v>
      </c>
      <c r="R133" s="132"/>
      <c r="S133" s="170">
        <f t="shared" ref="S133:S135" si="165">((((N133*(1+$D$7))+(P133*(1+$D$5+$D$6)))*(1+$D$8)))/I133</f>
        <v>328.85999999999996</v>
      </c>
      <c r="T133" s="169">
        <f t="shared" ref="T133:T135" si="166">S133*I133</f>
        <v>328.85999999999996</v>
      </c>
    </row>
    <row r="134" spans="1:20" s="7" customFormat="1" ht="46.8" x14ac:dyDescent="0.25">
      <c r="A134" s="131">
        <f>IF(J134&lt;&gt;"",1+MAX($A$19:A133),"")</f>
        <v>75</v>
      </c>
      <c r="B134" s="53"/>
      <c r="C134" s="53"/>
      <c r="D134" s="106" t="s">
        <v>65</v>
      </c>
      <c r="E134" s="183" t="s">
        <v>107</v>
      </c>
      <c r="F134" s="179" t="s">
        <v>866</v>
      </c>
      <c r="G134" s="54">
        <v>1</v>
      </c>
      <c r="H134" s="55">
        <f>IF(VLOOKUP(J134,'HOURLY RATES'!B$116:C$124,2,0)=0,$J$3,VLOOKUP(J134,'HOURLY RATES'!B$116:C$124,2,0))</f>
        <v>0</v>
      </c>
      <c r="I134" s="56">
        <f t="shared" si="160"/>
        <v>1</v>
      </c>
      <c r="J134" s="105" t="s">
        <v>251</v>
      </c>
      <c r="K134" s="394">
        <v>4.5</v>
      </c>
      <c r="L134" s="63">
        <f t="shared" si="161"/>
        <v>4.5</v>
      </c>
      <c r="M134" s="61">
        <f>IF(VLOOKUP(E134,'HOURLY RATES'!C$6:D$105,2,0)=0,$E$3,VLOOKUP(E134,'HOURLY RATES'!C$6:D$105,2,0))</f>
        <v>60</v>
      </c>
      <c r="N134" s="61">
        <f t="shared" si="162"/>
        <v>270</v>
      </c>
      <c r="O134" s="400">
        <v>0</v>
      </c>
      <c r="P134" s="64">
        <f t="shared" si="163"/>
        <v>0</v>
      </c>
      <c r="Q134" s="65">
        <f t="shared" si="164"/>
        <v>270</v>
      </c>
      <c r="R134" s="132"/>
      <c r="S134" s="170">
        <f t="shared" si="165"/>
        <v>328.85999999999996</v>
      </c>
      <c r="T134" s="169">
        <f t="shared" si="166"/>
        <v>328.85999999999996</v>
      </c>
    </row>
    <row r="135" spans="1:20" s="7" customFormat="1" ht="46.8" x14ac:dyDescent="0.25">
      <c r="A135" s="131">
        <f>IF(J135&lt;&gt;"",1+MAX($A$19:A134),"")</f>
        <v>76</v>
      </c>
      <c r="B135" s="53"/>
      <c r="C135" s="53"/>
      <c r="D135" s="106" t="s">
        <v>65</v>
      </c>
      <c r="E135" s="183" t="s">
        <v>107</v>
      </c>
      <c r="F135" s="179" t="s">
        <v>867</v>
      </c>
      <c r="G135" s="54">
        <v>1</v>
      </c>
      <c r="H135" s="55">
        <f>IF(VLOOKUP(J135,'HOURLY RATES'!B$116:C$124,2,0)=0,$J$3,VLOOKUP(J135,'HOURLY RATES'!B$116:C$124,2,0))</f>
        <v>0</v>
      </c>
      <c r="I135" s="56">
        <f t="shared" si="160"/>
        <v>1</v>
      </c>
      <c r="J135" s="105" t="s">
        <v>251</v>
      </c>
      <c r="K135" s="394">
        <v>4.5</v>
      </c>
      <c r="L135" s="63">
        <f t="shared" si="161"/>
        <v>4.5</v>
      </c>
      <c r="M135" s="61">
        <f>IF(VLOOKUP(E135,'HOURLY RATES'!C$6:D$105,2,0)=0,$E$3,VLOOKUP(E135,'HOURLY RATES'!C$6:D$105,2,0))</f>
        <v>60</v>
      </c>
      <c r="N135" s="61">
        <f t="shared" si="162"/>
        <v>270</v>
      </c>
      <c r="O135" s="400">
        <v>0</v>
      </c>
      <c r="P135" s="64">
        <f t="shared" si="163"/>
        <v>0</v>
      </c>
      <c r="Q135" s="65">
        <f t="shared" si="164"/>
        <v>270</v>
      </c>
      <c r="R135" s="132"/>
      <c r="S135" s="170">
        <f t="shared" si="165"/>
        <v>328.85999999999996</v>
      </c>
      <c r="T135" s="169">
        <f t="shared" si="166"/>
        <v>328.85999999999996</v>
      </c>
    </row>
    <row r="136" spans="1:20" s="7" customFormat="1" ht="46.8" x14ac:dyDescent="0.25">
      <c r="A136" s="131">
        <f>IF(J136&lt;&gt;"",1+MAX($A$19:A135),"")</f>
        <v>77</v>
      </c>
      <c r="B136" s="53"/>
      <c r="C136" s="53"/>
      <c r="D136" s="106" t="s">
        <v>65</v>
      </c>
      <c r="E136" s="183" t="s">
        <v>107</v>
      </c>
      <c r="F136" s="179" t="s">
        <v>868</v>
      </c>
      <c r="G136" s="54">
        <v>1</v>
      </c>
      <c r="H136" s="55">
        <f>IF(VLOOKUP(J136,'HOURLY RATES'!B$116:C$124,2,0)=0,$J$3,VLOOKUP(J136,'HOURLY RATES'!B$116:C$124,2,0))</f>
        <v>0</v>
      </c>
      <c r="I136" s="56">
        <f t="shared" ref="I136:I138" si="167">(G136*(1+H136))</f>
        <v>1</v>
      </c>
      <c r="J136" s="105" t="s">
        <v>251</v>
      </c>
      <c r="K136" s="394">
        <v>4.5</v>
      </c>
      <c r="L136" s="63">
        <f t="shared" ref="L136:L138" si="168">K136*I136</f>
        <v>4.5</v>
      </c>
      <c r="M136" s="61">
        <f>IF(VLOOKUP(E136,'HOURLY RATES'!C$6:D$105,2,0)=0,$E$3,VLOOKUP(E136,'HOURLY RATES'!C$6:D$105,2,0))</f>
        <v>60</v>
      </c>
      <c r="N136" s="61">
        <f t="shared" ref="N136:N138" si="169">M136*L136</f>
        <v>270</v>
      </c>
      <c r="O136" s="400">
        <v>0</v>
      </c>
      <c r="P136" s="64">
        <f t="shared" ref="P136:P138" si="170">O136*I136</f>
        <v>0</v>
      </c>
      <c r="Q136" s="65">
        <f t="shared" ref="Q136:Q138" si="171">P136+N136</f>
        <v>270</v>
      </c>
      <c r="R136" s="132"/>
      <c r="S136" s="170">
        <f t="shared" ref="S136:S138" si="172">((((N136*(1+$D$7))+(P136*(1+$D$5+$D$6)))*(1+$D$8)))/I136</f>
        <v>328.85999999999996</v>
      </c>
      <c r="T136" s="169">
        <f t="shared" ref="T136:T138" si="173">S136*I136</f>
        <v>328.85999999999996</v>
      </c>
    </row>
    <row r="137" spans="1:20" s="7" customFormat="1" ht="46.8" x14ac:dyDescent="0.25">
      <c r="A137" s="131">
        <f>IF(J137&lt;&gt;"",1+MAX($A$19:A136),"")</f>
        <v>78</v>
      </c>
      <c r="B137" s="53"/>
      <c r="C137" s="53"/>
      <c r="D137" s="106" t="s">
        <v>65</v>
      </c>
      <c r="E137" s="183" t="s">
        <v>107</v>
      </c>
      <c r="F137" s="179" t="s">
        <v>869</v>
      </c>
      <c r="G137" s="54">
        <v>1</v>
      </c>
      <c r="H137" s="55">
        <f>IF(VLOOKUP(J137,'HOURLY RATES'!B$116:C$124,2,0)=0,$J$3,VLOOKUP(J137,'HOURLY RATES'!B$116:C$124,2,0))</f>
        <v>0</v>
      </c>
      <c r="I137" s="56">
        <f t="shared" si="167"/>
        <v>1</v>
      </c>
      <c r="J137" s="105" t="s">
        <v>251</v>
      </c>
      <c r="K137" s="394">
        <v>4.5</v>
      </c>
      <c r="L137" s="63">
        <f t="shared" si="168"/>
        <v>4.5</v>
      </c>
      <c r="M137" s="61">
        <f>IF(VLOOKUP(E137,'HOURLY RATES'!C$6:D$105,2,0)=0,$E$3,VLOOKUP(E137,'HOURLY RATES'!C$6:D$105,2,0))</f>
        <v>60</v>
      </c>
      <c r="N137" s="61">
        <f t="shared" si="169"/>
        <v>270</v>
      </c>
      <c r="O137" s="400">
        <v>0</v>
      </c>
      <c r="P137" s="64">
        <f t="shared" si="170"/>
        <v>0</v>
      </c>
      <c r="Q137" s="65">
        <f t="shared" si="171"/>
        <v>270</v>
      </c>
      <c r="R137" s="132"/>
      <c r="S137" s="170">
        <f t="shared" si="172"/>
        <v>328.85999999999996</v>
      </c>
      <c r="T137" s="169">
        <f t="shared" si="173"/>
        <v>328.85999999999996</v>
      </c>
    </row>
    <row r="138" spans="1:20" s="7" customFormat="1" ht="46.8" x14ac:dyDescent="0.25">
      <c r="A138" s="131">
        <f>IF(J138&lt;&gt;"",1+MAX($A$19:A137),"")</f>
        <v>79</v>
      </c>
      <c r="B138" s="53"/>
      <c r="C138" s="53"/>
      <c r="D138" s="106" t="s">
        <v>65</v>
      </c>
      <c r="E138" s="183" t="s">
        <v>107</v>
      </c>
      <c r="F138" s="179" t="s">
        <v>870</v>
      </c>
      <c r="G138" s="54">
        <v>1</v>
      </c>
      <c r="H138" s="55">
        <f>IF(VLOOKUP(J138,'HOURLY RATES'!B$116:C$124,2,0)=0,$J$3,VLOOKUP(J138,'HOURLY RATES'!B$116:C$124,2,0))</f>
        <v>0</v>
      </c>
      <c r="I138" s="56">
        <f t="shared" si="167"/>
        <v>1</v>
      </c>
      <c r="J138" s="105" t="s">
        <v>251</v>
      </c>
      <c r="K138" s="394">
        <v>4.5</v>
      </c>
      <c r="L138" s="63">
        <f t="shared" si="168"/>
        <v>4.5</v>
      </c>
      <c r="M138" s="61">
        <f>IF(VLOOKUP(E138,'HOURLY RATES'!C$6:D$105,2,0)=0,$E$3,VLOOKUP(E138,'HOURLY RATES'!C$6:D$105,2,0))</f>
        <v>60</v>
      </c>
      <c r="N138" s="61">
        <f t="shared" si="169"/>
        <v>270</v>
      </c>
      <c r="O138" s="400">
        <v>0</v>
      </c>
      <c r="P138" s="64">
        <f t="shared" si="170"/>
        <v>0</v>
      </c>
      <c r="Q138" s="65">
        <f t="shared" si="171"/>
        <v>270</v>
      </c>
      <c r="R138" s="132"/>
      <c r="S138" s="170">
        <f t="shared" si="172"/>
        <v>328.85999999999996</v>
      </c>
      <c r="T138" s="169">
        <f t="shared" si="173"/>
        <v>328.85999999999996</v>
      </c>
    </row>
    <row r="139" spans="1:20" s="7" customFormat="1" ht="46.8" x14ac:dyDescent="0.25">
      <c r="A139" s="131">
        <f>IF(J139&lt;&gt;"",1+MAX($A$19:A138),"")</f>
        <v>80</v>
      </c>
      <c r="B139" s="53"/>
      <c r="C139" s="53"/>
      <c r="D139" s="106" t="s">
        <v>65</v>
      </c>
      <c r="E139" s="183" t="s">
        <v>107</v>
      </c>
      <c r="F139" s="179" t="s">
        <v>871</v>
      </c>
      <c r="G139" s="54">
        <v>1</v>
      </c>
      <c r="H139" s="55">
        <f>IF(VLOOKUP(J139,'HOURLY RATES'!B$116:C$124,2,0)=0,$J$3,VLOOKUP(J139,'HOURLY RATES'!B$116:C$124,2,0))</f>
        <v>0</v>
      </c>
      <c r="I139" s="56">
        <f t="shared" ref="I139:I141" si="174">(G139*(1+H139))</f>
        <v>1</v>
      </c>
      <c r="J139" s="105" t="s">
        <v>251</v>
      </c>
      <c r="K139" s="394">
        <v>4.5</v>
      </c>
      <c r="L139" s="63">
        <f t="shared" ref="L139:L141" si="175">K139*I139</f>
        <v>4.5</v>
      </c>
      <c r="M139" s="61">
        <f>IF(VLOOKUP(E139,'HOURLY RATES'!C$6:D$105,2,0)=0,$E$3,VLOOKUP(E139,'HOURLY RATES'!C$6:D$105,2,0))</f>
        <v>60</v>
      </c>
      <c r="N139" s="61">
        <f t="shared" ref="N139:N141" si="176">M139*L139</f>
        <v>270</v>
      </c>
      <c r="O139" s="400">
        <v>0</v>
      </c>
      <c r="P139" s="64">
        <f t="shared" ref="P139:P141" si="177">O139*I139</f>
        <v>0</v>
      </c>
      <c r="Q139" s="65">
        <f t="shared" ref="Q139:Q141" si="178">P139+N139</f>
        <v>270</v>
      </c>
      <c r="R139" s="132"/>
      <c r="S139" s="170">
        <f t="shared" ref="S139:S141" si="179">((((N139*(1+$D$7))+(P139*(1+$D$5+$D$6)))*(1+$D$8)))/I139</f>
        <v>328.85999999999996</v>
      </c>
      <c r="T139" s="169">
        <f t="shared" ref="T139:T141" si="180">S139*I139</f>
        <v>328.85999999999996</v>
      </c>
    </row>
    <row r="140" spans="1:20" s="7" customFormat="1" ht="46.8" x14ac:dyDescent="0.25">
      <c r="A140" s="131">
        <f>IF(J140&lt;&gt;"",1+MAX($A$19:A139),"")</f>
        <v>81</v>
      </c>
      <c r="B140" s="53"/>
      <c r="C140" s="53"/>
      <c r="D140" s="106" t="s">
        <v>65</v>
      </c>
      <c r="E140" s="183" t="s">
        <v>107</v>
      </c>
      <c r="F140" s="179" t="s">
        <v>872</v>
      </c>
      <c r="G140" s="54">
        <v>1</v>
      </c>
      <c r="H140" s="55">
        <f>IF(VLOOKUP(J140,'HOURLY RATES'!B$116:C$124,2,0)=0,$J$3,VLOOKUP(J140,'HOURLY RATES'!B$116:C$124,2,0))</f>
        <v>0</v>
      </c>
      <c r="I140" s="56">
        <f t="shared" si="174"/>
        <v>1</v>
      </c>
      <c r="J140" s="105" t="s">
        <v>251</v>
      </c>
      <c r="K140" s="394">
        <v>4.5</v>
      </c>
      <c r="L140" s="63">
        <f t="shared" si="175"/>
        <v>4.5</v>
      </c>
      <c r="M140" s="61">
        <f>IF(VLOOKUP(E140,'HOURLY RATES'!C$6:D$105,2,0)=0,$E$3,VLOOKUP(E140,'HOURLY RATES'!C$6:D$105,2,0))</f>
        <v>60</v>
      </c>
      <c r="N140" s="61">
        <f t="shared" si="176"/>
        <v>270</v>
      </c>
      <c r="O140" s="400">
        <v>0</v>
      </c>
      <c r="P140" s="64">
        <f t="shared" si="177"/>
        <v>0</v>
      </c>
      <c r="Q140" s="65">
        <f t="shared" si="178"/>
        <v>270</v>
      </c>
      <c r="R140" s="132"/>
      <c r="S140" s="170">
        <f t="shared" si="179"/>
        <v>328.85999999999996</v>
      </c>
      <c r="T140" s="169">
        <f t="shared" si="180"/>
        <v>328.85999999999996</v>
      </c>
    </row>
    <row r="141" spans="1:20" s="7" customFormat="1" ht="46.8" x14ac:dyDescent="0.25">
      <c r="A141" s="131">
        <f>IF(J141&lt;&gt;"",1+MAX($A$19:A140),"")</f>
        <v>82</v>
      </c>
      <c r="B141" s="53"/>
      <c r="C141" s="53"/>
      <c r="D141" s="106" t="s">
        <v>65</v>
      </c>
      <c r="E141" s="183" t="s">
        <v>107</v>
      </c>
      <c r="F141" s="179" t="s">
        <v>873</v>
      </c>
      <c r="G141" s="54">
        <v>1</v>
      </c>
      <c r="H141" s="55">
        <f>IF(VLOOKUP(J141,'HOURLY RATES'!B$116:C$124,2,0)=0,$J$3,VLOOKUP(J141,'HOURLY RATES'!B$116:C$124,2,0))</f>
        <v>0</v>
      </c>
      <c r="I141" s="56">
        <f t="shared" si="174"/>
        <v>1</v>
      </c>
      <c r="J141" s="105" t="s">
        <v>251</v>
      </c>
      <c r="K141" s="394">
        <v>4.5</v>
      </c>
      <c r="L141" s="63">
        <f t="shared" si="175"/>
        <v>4.5</v>
      </c>
      <c r="M141" s="61">
        <f>IF(VLOOKUP(E141,'HOURLY RATES'!C$6:D$105,2,0)=0,$E$3,VLOOKUP(E141,'HOURLY RATES'!C$6:D$105,2,0))</f>
        <v>60</v>
      </c>
      <c r="N141" s="61">
        <f t="shared" si="176"/>
        <v>270</v>
      </c>
      <c r="O141" s="400">
        <v>0</v>
      </c>
      <c r="P141" s="64">
        <f t="shared" si="177"/>
        <v>0</v>
      </c>
      <c r="Q141" s="65">
        <f t="shared" si="178"/>
        <v>270</v>
      </c>
      <c r="R141" s="132"/>
      <c r="S141" s="170">
        <f t="shared" si="179"/>
        <v>328.85999999999996</v>
      </c>
      <c r="T141" s="169">
        <f t="shared" si="180"/>
        <v>328.85999999999996</v>
      </c>
    </row>
    <row r="142" spans="1:20" s="7" customFormat="1" ht="46.8" x14ac:dyDescent="0.25">
      <c r="A142" s="131">
        <f>IF(J142&lt;&gt;"",1+MAX($A$19:A141),"")</f>
        <v>83</v>
      </c>
      <c r="B142" s="53"/>
      <c r="C142" s="53"/>
      <c r="D142" s="106" t="s">
        <v>65</v>
      </c>
      <c r="E142" s="183" t="s">
        <v>107</v>
      </c>
      <c r="F142" s="179" t="s">
        <v>874</v>
      </c>
      <c r="G142" s="54">
        <v>1</v>
      </c>
      <c r="H142" s="55">
        <f>IF(VLOOKUP(J142,'HOURLY RATES'!B$116:C$124,2,0)=0,$J$3,VLOOKUP(J142,'HOURLY RATES'!B$116:C$124,2,0))</f>
        <v>0</v>
      </c>
      <c r="I142" s="56">
        <f t="shared" ref="I142" si="181">(G142*(1+H142))</f>
        <v>1</v>
      </c>
      <c r="J142" s="105" t="s">
        <v>251</v>
      </c>
      <c r="K142" s="394">
        <v>4.5</v>
      </c>
      <c r="L142" s="63">
        <f t="shared" ref="L142" si="182">K142*I142</f>
        <v>4.5</v>
      </c>
      <c r="M142" s="61">
        <f>IF(VLOOKUP(E142,'HOURLY RATES'!C$6:D$105,2,0)=0,$E$3,VLOOKUP(E142,'HOURLY RATES'!C$6:D$105,2,0))</f>
        <v>60</v>
      </c>
      <c r="N142" s="61">
        <f t="shared" ref="N142" si="183">M142*L142</f>
        <v>270</v>
      </c>
      <c r="O142" s="400">
        <v>0</v>
      </c>
      <c r="P142" s="64">
        <f t="shared" ref="P142" si="184">O142*I142</f>
        <v>0</v>
      </c>
      <c r="Q142" s="65">
        <f t="shared" ref="Q142" si="185">P142+N142</f>
        <v>270</v>
      </c>
      <c r="R142" s="132"/>
      <c r="S142" s="170">
        <f t="shared" ref="S142" si="186">((((N142*(1+$D$7))+(P142*(1+$D$5+$D$6)))*(1+$D$8)))/I142</f>
        <v>328.85999999999996</v>
      </c>
      <c r="T142" s="169">
        <f t="shared" ref="T142" si="187">S142*I142</f>
        <v>328.85999999999996</v>
      </c>
    </row>
    <row r="143" spans="1:20" s="7" customFormat="1" ht="46.8" x14ac:dyDescent="0.25">
      <c r="A143" s="131">
        <f>IF(J143&lt;&gt;"",1+MAX($A$19:A142),"")</f>
        <v>84</v>
      </c>
      <c r="B143" s="53"/>
      <c r="C143" s="53"/>
      <c r="D143" s="106" t="s">
        <v>65</v>
      </c>
      <c r="E143" s="183" t="s">
        <v>107</v>
      </c>
      <c r="F143" s="179" t="s">
        <v>875</v>
      </c>
      <c r="G143" s="54">
        <v>1</v>
      </c>
      <c r="H143" s="55">
        <f>IF(VLOOKUP(J143,'HOURLY RATES'!B$116:C$124,2,0)=0,$J$3,VLOOKUP(J143,'HOURLY RATES'!B$116:C$124,2,0))</f>
        <v>0</v>
      </c>
      <c r="I143" s="56">
        <f t="shared" ref="I143:I177" si="188">(G143*(1+H143))</f>
        <v>1</v>
      </c>
      <c r="J143" s="105" t="s">
        <v>251</v>
      </c>
      <c r="K143" s="394">
        <v>4.5</v>
      </c>
      <c r="L143" s="63">
        <f t="shared" ref="L143:L177" si="189">K143*I143</f>
        <v>4.5</v>
      </c>
      <c r="M143" s="61">
        <f>IF(VLOOKUP(E143,'HOURLY RATES'!C$6:D$105,2,0)=0,$E$3,VLOOKUP(E143,'HOURLY RATES'!C$6:D$105,2,0))</f>
        <v>60</v>
      </c>
      <c r="N143" s="61">
        <f t="shared" ref="N143:N177" si="190">M143*L143</f>
        <v>270</v>
      </c>
      <c r="O143" s="400">
        <v>0</v>
      </c>
      <c r="P143" s="64">
        <f t="shared" ref="P143:P177" si="191">O143*I143</f>
        <v>0</v>
      </c>
      <c r="Q143" s="65">
        <f t="shared" ref="Q143:Q177" si="192">P143+N143</f>
        <v>270</v>
      </c>
      <c r="R143" s="132"/>
      <c r="S143" s="170">
        <f t="shared" ref="S143:S177" si="193">((((N143*(1+$D$7))+(P143*(1+$D$5+$D$6)))*(1+$D$8)))/I143</f>
        <v>328.85999999999996</v>
      </c>
      <c r="T143" s="169">
        <f t="shared" ref="T143:T177" si="194">S143*I143</f>
        <v>328.85999999999996</v>
      </c>
    </row>
    <row r="144" spans="1:20" s="7" customFormat="1" ht="46.8" x14ac:dyDescent="0.25">
      <c r="A144" s="131">
        <f>IF(J144&lt;&gt;"",1+MAX($A$19:A143),"")</f>
        <v>85</v>
      </c>
      <c r="B144" s="53"/>
      <c r="C144" s="53"/>
      <c r="D144" s="106" t="s">
        <v>65</v>
      </c>
      <c r="E144" s="183" t="s">
        <v>107</v>
      </c>
      <c r="F144" s="179" t="s">
        <v>876</v>
      </c>
      <c r="G144" s="54">
        <v>1</v>
      </c>
      <c r="H144" s="55">
        <f>IF(VLOOKUP(J144,'HOURLY RATES'!B$116:C$124,2,0)=0,$J$3,VLOOKUP(J144,'HOURLY RATES'!B$116:C$124,2,0))</f>
        <v>0</v>
      </c>
      <c r="I144" s="56">
        <f t="shared" si="188"/>
        <v>1</v>
      </c>
      <c r="J144" s="105" t="s">
        <v>251</v>
      </c>
      <c r="K144" s="394">
        <v>4.5</v>
      </c>
      <c r="L144" s="63">
        <f t="shared" si="189"/>
        <v>4.5</v>
      </c>
      <c r="M144" s="61">
        <f>IF(VLOOKUP(E144,'HOURLY RATES'!C$6:D$105,2,0)=0,$E$3,VLOOKUP(E144,'HOURLY RATES'!C$6:D$105,2,0))</f>
        <v>60</v>
      </c>
      <c r="N144" s="61">
        <f t="shared" si="190"/>
        <v>270</v>
      </c>
      <c r="O144" s="400">
        <v>0</v>
      </c>
      <c r="P144" s="64">
        <f t="shared" si="191"/>
        <v>0</v>
      </c>
      <c r="Q144" s="65">
        <f t="shared" si="192"/>
        <v>270</v>
      </c>
      <c r="R144" s="132"/>
      <c r="S144" s="170">
        <f t="shared" si="193"/>
        <v>328.85999999999996</v>
      </c>
      <c r="T144" s="169">
        <f t="shared" si="194"/>
        <v>328.85999999999996</v>
      </c>
    </row>
    <row r="145" spans="1:20" s="7" customFormat="1" ht="46.8" x14ac:dyDescent="0.25">
      <c r="A145" s="131">
        <f>IF(J145&lt;&gt;"",1+MAX($A$19:A144),"")</f>
        <v>86</v>
      </c>
      <c r="B145" s="53"/>
      <c r="C145" s="53"/>
      <c r="D145" s="106" t="s">
        <v>65</v>
      </c>
      <c r="E145" s="183" t="s">
        <v>107</v>
      </c>
      <c r="F145" s="179" t="s">
        <v>877</v>
      </c>
      <c r="G145" s="54">
        <v>1</v>
      </c>
      <c r="H145" s="55">
        <f>IF(VLOOKUP(J145,'HOURLY RATES'!B$116:C$124,2,0)=0,$J$3,VLOOKUP(J145,'HOURLY RATES'!B$116:C$124,2,0))</f>
        <v>0</v>
      </c>
      <c r="I145" s="56">
        <f t="shared" si="188"/>
        <v>1</v>
      </c>
      <c r="J145" s="105" t="s">
        <v>251</v>
      </c>
      <c r="K145" s="394">
        <v>4.5</v>
      </c>
      <c r="L145" s="63">
        <f t="shared" si="189"/>
        <v>4.5</v>
      </c>
      <c r="M145" s="61">
        <f>IF(VLOOKUP(E145,'HOURLY RATES'!C$6:D$105,2,0)=0,$E$3,VLOOKUP(E145,'HOURLY RATES'!C$6:D$105,2,0))</f>
        <v>60</v>
      </c>
      <c r="N145" s="61">
        <f t="shared" si="190"/>
        <v>270</v>
      </c>
      <c r="O145" s="400">
        <v>0</v>
      </c>
      <c r="P145" s="64">
        <f t="shared" si="191"/>
        <v>0</v>
      </c>
      <c r="Q145" s="65">
        <f t="shared" si="192"/>
        <v>270</v>
      </c>
      <c r="R145" s="132"/>
      <c r="S145" s="170">
        <f t="shared" si="193"/>
        <v>328.85999999999996</v>
      </c>
      <c r="T145" s="169">
        <f t="shared" si="194"/>
        <v>328.85999999999996</v>
      </c>
    </row>
    <row r="146" spans="1:20" s="7" customFormat="1" ht="46.8" x14ac:dyDescent="0.25">
      <c r="A146" s="131">
        <f>IF(J146&lt;&gt;"",1+MAX($A$19:A145),"")</f>
        <v>87</v>
      </c>
      <c r="B146" s="53"/>
      <c r="C146" s="53"/>
      <c r="D146" s="106" t="s">
        <v>65</v>
      </c>
      <c r="E146" s="183" t="s">
        <v>107</v>
      </c>
      <c r="F146" s="179" t="s">
        <v>878</v>
      </c>
      <c r="G146" s="54">
        <v>1</v>
      </c>
      <c r="H146" s="55">
        <f>IF(VLOOKUP(J146,'HOURLY RATES'!B$116:C$124,2,0)=0,$J$3,VLOOKUP(J146,'HOURLY RATES'!B$116:C$124,2,0))</f>
        <v>0</v>
      </c>
      <c r="I146" s="56">
        <f t="shared" si="188"/>
        <v>1</v>
      </c>
      <c r="J146" s="105" t="s">
        <v>251</v>
      </c>
      <c r="K146" s="394">
        <v>4.5</v>
      </c>
      <c r="L146" s="63">
        <f t="shared" si="189"/>
        <v>4.5</v>
      </c>
      <c r="M146" s="61">
        <f>IF(VLOOKUP(E146,'HOURLY RATES'!C$6:D$105,2,0)=0,$E$3,VLOOKUP(E146,'HOURLY RATES'!C$6:D$105,2,0))</f>
        <v>60</v>
      </c>
      <c r="N146" s="61">
        <f t="shared" si="190"/>
        <v>270</v>
      </c>
      <c r="O146" s="400">
        <v>0</v>
      </c>
      <c r="P146" s="64">
        <f t="shared" si="191"/>
        <v>0</v>
      </c>
      <c r="Q146" s="65">
        <f t="shared" si="192"/>
        <v>270</v>
      </c>
      <c r="R146" s="132"/>
      <c r="S146" s="170">
        <f t="shared" si="193"/>
        <v>328.85999999999996</v>
      </c>
      <c r="T146" s="169">
        <f t="shared" si="194"/>
        <v>328.85999999999996</v>
      </c>
    </row>
    <row r="147" spans="1:20" s="7" customFormat="1" ht="46.8" x14ac:dyDescent="0.25">
      <c r="A147" s="131">
        <f>IF(J147&lt;&gt;"",1+MAX($A$19:A146),"")</f>
        <v>88</v>
      </c>
      <c r="B147" s="53"/>
      <c r="C147" s="53"/>
      <c r="D147" s="106" t="s">
        <v>65</v>
      </c>
      <c r="E147" s="183" t="s">
        <v>107</v>
      </c>
      <c r="F147" s="179" t="s">
        <v>879</v>
      </c>
      <c r="G147" s="54">
        <v>1</v>
      </c>
      <c r="H147" s="55">
        <f>IF(VLOOKUP(J147,'HOURLY RATES'!B$116:C$124,2,0)=0,$J$3,VLOOKUP(J147,'HOURLY RATES'!B$116:C$124,2,0))</f>
        <v>0</v>
      </c>
      <c r="I147" s="56">
        <f t="shared" si="188"/>
        <v>1</v>
      </c>
      <c r="J147" s="105" t="s">
        <v>251</v>
      </c>
      <c r="K147" s="394">
        <v>4.5</v>
      </c>
      <c r="L147" s="63">
        <f t="shared" si="189"/>
        <v>4.5</v>
      </c>
      <c r="M147" s="61">
        <f>IF(VLOOKUP(E147,'HOURLY RATES'!C$6:D$105,2,0)=0,$E$3,VLOOKUP(E147,'HOURLY RATES'!C$6:D$105,2,0))</f>
        <v>60</v>
      </c>
      <c r="N147" s="61">
        <f t="shared" si="190"/>
        <v>270</v>
      </c>
      <c r="O147" s="400">
        <v>0</v>
      </c>
      <c r="P147" s="64">
        <f t="shared" si="191"/>
        <v>0</v>
      </c>
      <c r="Q147" s="65">
        <f t="shared" si="192"/>
        <v>270</v>
      </c>
      <c r="R147" s="132"/>
      <c r="S147" s="170">
        <f t="shared" si="193"/>
        <v>328.85999999999996</v>
      </c>
      <c r="T147" s="169">
        <f t="shared" si="194"/>
        <v>328.85999999999996</v>
      </c>
    </row>
    <row r="148" spans="1:20" s="7" customFormat="1" ht="46.8" x14ac:dyDescent="0.25">
      <c r="A148" s="131">
        <f>IF(J148&lt;&gt;"",1+MAX($A$19:A147),"")</f>
        <v>89</v>
      </c>
      <c r="B148" s="53"/>
      <c r="C148" s="53"/>
      <c r="D148" s="106" t="s">
        <v>65</v>
      </c>
      <c r="E148" s="183" t="s">
        <v>107</v>
      </c>
      <c r="F148" s="179" t="s">
        <v>880</v>
      </c>
      <c r="G148" s="54">
        <v>1</v>
      </c>
      <c r="H148" s="55">
        <f>IF(VLOOKUP(J148,'HOURLY RATES'!B$116:C$124,2,0)=0,$J$3,VLOOKUP(J148,'HOURLY RATES'!B$116:C$124,2,0))</f>
        <v>0</v>
      </c>
      <c r="I148" s="56">
        <f t="shared" si="188"/>
        <v>1</v>
      </c>
      <c r="J148" s="105" t="s">
        <v>251</v>
      </c>
      <c r="K148" s="394">
        <v>4.5</v>
      </c>
      <c r="L148" s="63">
        <f t="shared" si="189"/>
        <v>4.5</v>
      </c>
      <c r="M148" s="61">
        <f>IF(VLOOKUP(E148,'HOURLY RATES'!C$6:D$105,2,0)=0,$E$3,VLOOKUP(E148,'HOURLY RATES'!C$6:D$105,2,0))</f>
        <v>60</v>
      </c>
      <c r="N148" s="61">
        <f t="shared" si="190"/>
        <v>270</v>
      </c>
      <c r="O148" s="400">
        <v>0</v>
      </c>
      <c r="P148" s="64">
        <f t="shared" si="191"/>
        <v>0</v>
      </c>
      <c r="Q148" s="65">
        <f t="shared" si="192"/>
        <v>270</v>
      </c>
      <c r="R148" s="132"/>
      <c r="S148" s="170">
        <f t="shared" si="193"/>
        <v>328.85999999999996</v>
      </c>
      <c r="T148" s="169">
        <f t="shared" si="194"/>
        <v>328.85999999999996</v>
      </c>
    </row>
    <row r="149" spans="1:20" s="7" customFormat="1" ht="46.8" x14ac:dyDescent="0.25">
      <c r="A149" s="131">
        <f>IF(J149&lt;&gt;"",1+MAX($A$19:A148),"")</f>
        <v>90</v>
      </c>
      <c r="B149" s="53"/>
      <c r="C149" s="53"/>
      <c r="D149" s="106" t="s">
        <v>65</v>
      </c>
      <c r="E149" s="183" t="s">
        <v>107</v>
      </c>
      <c r="F149" s="179" t="s">
        <v>881</v>
      </c>
      <c r="G149" s="54">
        <v>1</v>
      </c>
      <c r="H149" s="55">
        <f>IF(VLOOKUP(J149,'HOURLY RATES'!B$116:C$124,2,0)=0,$J$3,VLOOKUP(J149,'HOURLY RATES'!B$116:C$124,2,0))</f>
        <v>0</v>
      </c>
      <c r="I149" s="56">
        <f t="shared" si="188"/>
        <v>1</v>
      </c>
      <c r="J149" s="105" t="s">
        <v>251</v>
      </c>
      <c r="K149" s="394">
        <v>4.5</v>
      </c>
      <c r="L149" s="63">
        <f t="shared" si="189"/>
        <v>4.5</v>
      </c>
      <c r="M149" s="61">
        <f>IF(VLOOKUP(E149,'HOURLY RATES'!C$6:D$105,2,0)=0,$E$3,VLOOKUP(E149,'HOURLY RATES'!C$6:D$105,2,0))</f>
        <v>60</v>
      </c>
      <c r="N149" s="61">
        <f t="shared" si="190"/>
        <v>270</v>
      </c>
      <c r="O149" s="400">
        <v>0</v>
      </c>
      <c r="P149" s="64">
        <f t="shared" si="191"/>
        <v>0</v>
      </c>
      <c r="Q149" s="65">
        <f t="shared" si="192"/>
        <v>270</v>
      </c>
      <c r="R149" s="132"/>
      <c r="S149" s="170">
        <f t="shared" si="193"/>
        <v>328.85999999999996</v>
      </c>
      <c r="T149" s="169">
        <f t="shared" si="194"/>
        <v>328.85999999999996</v>
      </c>
    </row>
    <row r="150" spans="1:20" s="7" customFormat="1" ht="46.8" x14ac:dyDescent="0.25">
      <c r="A150" s="131">
        <f>IF(J150&lt;&gt;"",1+MAX($A$19:A149),"")</f>
        <v>91</v>
      </c>
      <c r="B150" s="53"/>
      <c r="C150" s="53"/>
      <c r="D150" s="106" t="s">
        <v>65</v>
      </c>
      <c r="E150" s="183" t="s">
        <v>107</v>
      </c>
      <c r="F150" s="179" t="s">
        <v>882</v>
      </c>
      <c r="G150" s="54">
        <v>1</v>
      </c>
      <c r="H150" s="55">
        <f>IF(VLOOKUP(J150,'HOURLY RATES'!B$116:C$124,2,0)=0,$J$3,VLOOKUP(J150,'HOURLY RATES'!B$116:C$124,2,0))</f>
        <v>0</v>
      </c>
      <c r="I150" s="56">
        <f t="shared" ref="I150:I164" si="195">(G150*(1+H150))</f>
        <v>1</v>
      </c>
      <c r="J150" s="105" t="s">
        <v>251</v>
      </c>
      <c r="K150" s="394">
        <v>4.5</v>
      </c>
      <c r="L150" s="63">
        <f t="shared" ref="L150:L164" si="196">K150*I150</f>
        <v>4.5</v>
      </c>
      <c r="M150" s="61">
        <f>IF(VLOOKUP(E150,'HOURLY RATES'!C$6:D$105,2,0)=0,$E$3,VLOOKUP(E150,'HOURLY RATES'!C$6:D$105,2,0))</f>
        <v>60</v>
      </c>
      <c r="N150" s="61">
        <f t="shared" ref="N150:N164" si="197">M150*L150</f>
        <v>270</v>
      </c>
      <c r="O150" s="400">
        <v>0</v>
      </c>
      <c r="P150" s="64">
        <f t="shared" ref="P150:P164" si="198">O150*I150</f>
        <v>0</v>
      </c>
      <c r="Q150" s="65">
        <f t="shared" ref="Q150:Q164" si="199">P150+N150</f>
        <v>270</v>
      </c>
      <c r="R150" s="132"/>
      <c r="S150" s="170">
        <f t="shared" ref="S150:S164" si="200">((((N150*(1+$D$7))+(P150*(1+$D$5+$D$6)))*(1+$D$8)))/I150</f>
        <v>328.85999999999996</v>
      </c>
      <c r="T150" s="169">
        <f t="shared" ref="T150:T164" si="201">S150*I150</f>
        <v>328.85999999999996</v>
      </c>
    </row>
    <row r="151" spans="1:20" s="7" customFormat="1" ht="46.8" x14ac:dyDescent="0.25">
      <c r="A151" s="131">
        <f>IF(J151&lt;&gt;"",1+MAX($A$19:A150),"")</f>
        <v>92</v>
      </c>
      <c r="B151" s="53"/>
      <c r="C151" s="53"/>
      <c r="D151" s="106" t="s">
        <v>65</v>
      </c>
      <c r="E151" s="183" t="s">
        <v>107</v>
      </c>
      <c r="F151" s="179" t="s">
        <v>883</v>
      </c>
      <c r="G151" s="54">
        <v>1</v>
      </c>
      <c r="H151" s="55">
        <f>IF(VLOOKUP(J151,'HOURLY RATES'!B$116:C$124,2,0)=0,$J$3,VLOOKUP(J151,'HOURLY RATES'!B$116:C$124,2,0))</f>
        <v>0</v>
      </c>
      <c r="I151" s="56">
        <f t="shared" si="195"/>
        <v>1</v>
      </c>
      <c r="J151" s="105" t="s">
        <v>251</v>
      </c>
      <c r="K151" s="394">
        <v>4.5</v>
      </c>
      <c r="L151" s="63">
        <f t="shared" si="196"/>
        <v>4.5</v>
      </c>
      <c r="M151" s="61">
        <f>IF(VLOOKUP(E151,'HOURLY RATES'!C$6:D$105,2,0)=0,$E$3,VLOOKUP(E151,'HOURLY RATES'!C$6:D$105,2,0))</f>
        <v>60</v>
      </c>
      <c r="N151" s="61">
        <f t="shared" si="197"/>
        <v>270</v>
      </c>
      <c r="O151" s="400">
        <v>0</v>
      </c>
      <c r="P151" s="64">
        <f t="shared" si="198"/>
        <v>0</v>
      </c>
      <c r="Q151" s="65">
        <f t="shared" si="199"/>
        <v>270</v>
      </c>
      <c r="R151" s="132"/>
      <c r="S151" s="170">
        <f t="shared" si="200"/>
        <v>328.85999999999996</v>
      </c>
      <c r="T151" s="169">
        <f t="shared" si="201"/>
        <v>328.85999999999996</v>
      </c>
    </row>
    <row r="152" spans="1:20" s="7" customFormat="1" ht="46.8" x14ac:dyDescent="0.25">
      <c r="A152" s="131">
        <f>IF(J152&lt;&gt;"",1+MAX($A$19:A151),"")</f>
        <v>93</v>
      </c>
      <c r="B152" s="53"/>
      <c r="C152" s="53"/>
      <c r="D152" s="106" t="s">
        <v>65</v>
      </c>
      <c r="E152" s="183" t="s">
        <v>107</v>
      </c>
      <c r="F152" s="179" t="s">
        <v>884</v>
      </c>
      <c r="G152" s="54">
        <v>1</v>
      </c>
      <c r="H152" s="55">
        <f>IF(VLOOKUP(J152,'HOURLY RATES'!B$116:C$124,2,0)=0,$J$3,VLOOKUP(J152,'HOURLY RATES'!B$116:C$124,2,0))</f>
        <v>0</v>
      </c>
      <c r="I152" s="56">
        <f t="shared" si="195"/>
        <v>1</v>
      </c>
      <c r="J152" s="105" t="s">
        <v>251</v>
      </c>
      <c r="K152" s="394">
        <v>4.5</v>
      </c>
      <c r="L152" s="63">
        <f t="shared" si="196"/>
        <v>4.5</v>
      </c>
      <c r="M152" s="61">
        <f>IF(VLOOKUP(E152,'HOURLY RATES'!C$6:D$105,2,0)=0,$E$3,VLOOKUP(E152,'HOURLY RATES'!C$6:D$105,2,0))</f>
        <v>60</v>
      </c>
      <c r="N152" s="61">
        <f t="shared" si="197"/>
        <v>270</v>
      </c>
      <c r="O152" s="400">
        <v>0</v>
      </c>
      <c r="P152" s="64">
        <f t="shared" si="198"/>
        <v>0</v>
      </c>
      <c r="Q152" s="65">
        <f t="shared" si="199"/>
        <v>270</v>
      </c>
      <c r="R152" s="132"/>
      <c r="S152" s="170">
        <f t="shared" si="200"/>
        <v>328.85999999999996</v>
      </c>
      <c r="T152" s="169">
        <f t="shared" si="201"/>
        <v>328.85999999999996</v>
      </c>
    </row>
    <row r="153" spans="1:20" s="7" customFormat="1" ht="46.8" x14ac:dyDescent="0.25">
      <c r="A153" s="131">
        <f>IF(J153&lt;&gt;"",1+MAX($A$19:A152),"")</f>
        <v>94</v>
      </c>
      <c r="B153" s="53"/>
      <c r="C153" s="53"/>
      <c r="D153" s="106" t="s">
        <v>65</v>
      </c>
      <c r="E153" s="183" t="s">
        <v>107</v>
      </c>
      <c r="F153" s="179" t="s">
        <v>885</v>
      </c>
      <c r="G153" s="54">
        <v>1</v>
      </c>
      <c r="H153" s="55">
        <f>IF(VLOOKUP(J153,'HOURLY RATES'!B$116:C$124,2,0)=0,$J$3,VLOOKUP(J153,'HOURLY RATES'!B$116:C$124,2,0))</f>
        <v>0</v>
      </c>
      <c r="I153" s="56">
        <f t="shared" si="195"/>
        <v>1</v>
      </c>
      <c r="J153" s="105" t="s">
        <v>251</v>
      </c>
      <c r="K153" s="394">
        <v>4.5</v>
      </c>
      <c r="L153" s="63">
        <f t="shared" si="196"/>
        <v>4.5</v>
      </c>
      <c r="M153" s="61">
        <f>IF(VLOOKUP(E153,'HOURLY RATES'!C$6:D$105,2,0)=0,$E$3,VLOOKUP(E153,'HOURLY RATES'!C$6:D$105,2,0))</f>
        <v>60</v>
      </c>
      <c r="N153" s="61">
        <f t="shared" si="197"/>
        <v>270</v>
      </c>
      <c r="O153" s="400">
        <v>0</v>
      </c>
      <c r="P153" s="64">
        <f t="shared" si="198"/>
        <v>0</v>
      </c>
      <c r="Q153" s="65">
        <f t="shared" si="199"/>
        <v>270</v>
      </c>
      <c r="R153" s="132"/>
      <c r="S153" s="170">
        <f t="shared" si="200"/>
        <v>328.85999999999996</v>
      </c>
      <c r="T153" s="169">
        <f t="shared" si="201"/>
        <v>328.85999999999996</v>
      </c>
    </row>
    <row r="154" spans="1:20" s="7" customFormat="1" ht="46.8" x14ac:dyDescent="0.25">
      <c r="A154" s="131">
        <f>IF(J154&lt;&gt;"",1+MAX($A$19:A153),"")</f>
        <v>95</v>
      </c>
      <c r="B154" s="53"/>
      <c r="C154" s="53"/>
      <c r="D154" s="106" t="s">
        <v>65</v>
      </c>
      <c r="E154" s="183" t="s">
        <v>107</v>
      </c>
      <c r="F154" s="179" t="s">
        <v>886</v>
      </c>
      <c r="G154" s="54">
        <v>1</v>
      </c>
      <c r="H154" s="55">
        <f>IF(VLOOKUP(J154,'HOURLY RATES'!B$116:C$124,2,0)=0,$J$3,VLOOKUP(J154,'HOURLY RATES'!B$116:C$124,2,0))</f>
        <v>0</v>
      </c>
      <c r="I154" s="56">
        <f t="shared" si="195"/>
        <v>1</v>
      </c>
      <c r="J154" s="105" t="s">
        <v>251</v>
      </c>
      <c r="K154" s="394">
        <v>4.5</v>
      </c>
      <c r="L154" s="63">
        <f t="shared" si="196"/>
        <v>4.5</v>
      </c>
      <c r="M154" s="61">
        <f>IF(VLOOKUP(E154,'HOURLY RATES'!C$6:D$105,2,0)=0,$E$3,VLOOKUP(E154,'HOURLY RATES'!C$6:D$105,2,0))</f>
        <v>60</v>
      </c>
      <c r="N154" s="61">
        <f t="shared" si="197"/>
        <v>270</v>
      </c>
      <c r="O154" s="400">
        <v>0</v>
      </c>
      <c r="P154" s="64">
        <f t="shared" si="198"/>
        <v>0</v>
      </c>
      <c r="Q154" s="65">
        <f t="shared" si="199"/>
        <v>270</v>
      </c>
      <c r="R154" s="132"/>
      <c r="S154" s="170">
        <f t="shared" si="200"/>
        <v>328.85999999999996</v>
      </c>
      <c r="T154" s="169">
        <f t="shared" si="201"/>
        <v>328.85999999999996</v>
      </c>
    </row>
    <row r="155" spans="1:20" s="7" customFormat="1" ht="46.8" x14ac:dyDescent="0.25">
      <c r="A155" s="131">
        <f>IF(J155&lt;&gt;"",1+MAX($A$19:A154),"")</f>
        <v>96</v>
      </c>
      <c r="B155" s="53"/>
      <c r="C155" s="53"/>
      <c r="D155" s="106" t="s">
        <v>65</v>
      </c>
      <c r="E155" s="183" t="s">
        <v>107</v>
      </c>
      <c r="F155" s="179" t="s">
        <v>887</v>
      </c>
      <c r="G155" s="54">
        <v>1</v>
      </c>
      <c r="H155" s="55">
        <f>IF(VLOOKUP(J155,'HOURLY RATES'!B$116:C$124,2,0)=0,$J$3,VLOOKUP(J155,'HOURLY RATES'!B$116:C$124,2,0))</f>
        <v>0</v>
      </c>
      <c r="I155" s="56">
        <f t="shared" si="195"/>
        <v>1</v>
      </c>
      <c r="J155" s="105" t="s">
        <v>251</v>
      </c>
      <c r="K155" s="394">
        <v>5</v>
      </c>
      <c r="L155" s="63">
        <f t="shared" si="196"/>
        <v>5</v>
      </c>
      <c r="M155" s="61">
        <f>IF(VLOOKUP(E155,'HOURLY RATES'!C$6:D$105,2,0)=0,$E$3,VLOOKUP(E155,'HOURLY RATES'!C$6:D$105,2,0))</f>
        <v>60</v>
      </c>
      <c r="N155" s="61">
        <f t="shared" si="197"/>
        <v>300</v>
      </c>
      <c r="O155" s="400">
        <v>0</v>
      </c>
      <c r="P155" s="64">
        <f t="shared" si="198"/>
        <v>0</v>
      </c>
      <c r="Q155" s="65">
        <f t="shared" si="199"/>
        <v>300</v>
      </c>
      <c r="R155" s="132"/>
      <c r="S155" s="170">
        <f t="shared" si="200"/>
        <v>365.4</v>
      </c>
      <c r="T155" s="169">
        <f t="shared" si="201"/>
        <v>365.4</v>
      </c>
    </row>
    <row r="156" spans="1:20" s="7" customFormat="1" ht="46.8" x14ac:dyDescent="0.25">
      <c r="A156" s="131">
        <f>IF(J156&lt;&gt;"",1+MAX($A$19:A155),"")</f>
        <v>97</v>
      </c>
      <c r="B156" s="53"/>
      <c r="C156" s="53"/>
      <c r="D156" s="106" t="s">
        <v>65</v>
      </c>
      <c r="E156" s="183" t="s">
        <v>107</v>
      </c>
      <c r="F156" s="179" t="s">
        <v>888</v>
      </c>
      <c r="G156" s="54">
        <v>1</v>
      </c>
      <c r="H156" s="55">
        <f>IF(VLOOKUP(J156,'HOURLY RATES'!B$116:C$124,2,0)=0,$J$3,VLOOKUP(J156,'HOURLY RATES'!B$116:C$124,2,0))</f>
        <v>0</v>
      </c>
      <c r="I156" s="56">
        <f t="shared" si="195"/>
        <v>1</v>
      </c>
      <c r="J156" s="105" t="s">
        <v>251</v>
      </c>
      <c r="K156" s="394">
        <v>5</v>
      </c>
      <c r="L156" s="63">
        <f t="shared" si="196"/>
        <v>5</v>
      </c>
      <c r="M156" s="61">
        <f>IF(VLOOKUP(E156,'HOURLY RATES'!C$6:D$105,2,0)=0,$E$3,VLOOKUP(E156,'HOURLY RATES'!C$6:D$105,2,0))</f>
        <v>60</v>
      </c>
      <c r="N156" s="61">
        <f t="shared" si="197"/>
        <v>300</v>
      </c>
      <c r="O156" s="400">
        <v>0</v>
      </c>
      <c r="P156" s="64">
        <f t="shared" si="198"/>
        <v>0</v>
      </c>
      <c r="Q156" s="65">
        <f t="shared" si="199"/>
        <v>300</v>
      </c>
      <c r="R156" s="132"/>
      <c r="S156" s="170">
        <f t="shared" si="200"/>
        <v>365.4</v>
      </c>
      <c r="T156" s="169">
        <f t="shared" si="201"/>
        <v>365.4</v>
      </c>
    </row>
    <row r="157" spans="1:20" s="7" customFormat="1" ht="46.8" x14ac:dyDescent="0.25">
      <c r="A157" s="131">
        <f>IF(J157&lt;&gt;"",1+MAX($A$19:A156),"")</f>
        <v>98</v>
      </c>
      <c r="B157" s="53"/>
      <c r="C157" s="53"/>
      <c r="D157" s="106" t="s">
        <v>65</v>
      </c>
      <c r="E157" s="183" t="s">
        <v>107</v>
      </c>
      <c r="F157" s="179" t="s">
        <v>889</v>
      </c>
      <c r="G157" s="54">
        <v>1</v>
      </c>
      <c r="H157" s="55">
        <f>IF(VLOOKUP(J157,'HOURLY RATES'!B$116:C$124,2,0)=0,$J$3,VLOOKUP(J157,'HOURLY RATES'!B$116:C$124,2,0))</f>
        <v>0</v>
      </c>
      <c r="I157" s="56">
        <f t="shared" si="195"/>
        <v>1</v>
      </c>
      <c r="J157" s="105" t="s">
        <v>251</v>
      </c>
      <c r="K157" s="394">
        <v>5</v>
      </c>
      <c r="L157" s="63">
        <f t="shared" si="196"/>
        <v>5</v>
      </c>
      <c r="M157" s="61">
        <f>IF(VLOOKUP(E157,'HOURLY RATES'!C$6:D$105,2,0)=0,$E$3,VLOOKUP(E157,'HOURLY RATES'!C$6:D$105,2,0))</f>
        <v>60</v>
      </c>
      <c r="N157" s="61">
        <f t="shared" si="197"/>
        <v>300</v>
      </c>
      <c r="O157" s="400">
        <v>0</v>
      </c>
      <c r="P157" s="64">
        <f t="shared" si="198"/>
        <v>0</v>
      </c>
      <c r="Q157" s="65">
        <f t="shared" si="199"/>
        <v>300</v>
      </c>
      <c r="R157" s="132"/>
      <c r="S157" s="170">
        <f t="shared" si="200"/>
        <v>365.4</v>
      </c>
      <c r="T157" s="169">
        <f t="shared" si="201"/>
        <v>365.4</v>
      </c>
    </row>
    <row r="158" spans="1:20" s="7" customFormat="1" ht="46.8" x14ac:dyDescent="0.25">
      <c r="A158" s="131">
        <f>IF(J158&lt;&gt;"",1+MAX($A$19:A157),"")</f>
        <v>99</v>
      </c>
      <c r="B158" s="53"/>
      <c r="C158" s="53"/>
      <c r="D158" s="106" t="s">
        <v>65</v>
      </c>
      <c r="E158" s="183" t="s">
        <v>107</v>
      </c>
      <c r="F158" s="179" t="s">
        <v>890</v>
      </c>
      <c r="G158" s="54">
        <v>1</v>
      </c>
      <c r="H158" s="55">
        <f>IF(VLOOKUP(J158,'HOURLY RATES'!B$116:C$124,2,0)=0,$J$3,VLOOKUP(J158,'HOURLY RATES'!B$116:C$124,2,0))</f>
        <v>0</v>
      </c>
      <c r="I158" s="56">
        <f t="shared" si="195"/>
        <v>1</v>
      </c>
      <c r="J158" s="105" t="s">
        <v>251</v>
      </c>
      <c r="K158" s="394">
        <v>5</v>
      </c>
      <c r="L158" s="63">
        <f t="shared" si="196"/>
        <v>5</v>
      </c>
      <c r="M158" s="61">
        <f>IF(VLOOKUP(E158,'HOURLY RATES'!C$6:D$105,2,0)=0,$E$3,VLOOKUP(E158,'HOURLY RATES'!C$6:D$105,2,0))</f>
        <v>60</v>
      </c>
      <c r="N158" s="61">
        <f t="shared" si="197"/>
        <v>300</v>
      </c>
      <c r="O158" s="400">
        <v>0</v>
      </c>
      <c r="P158" s="64">
        <f t="shared" si="198"/>
        <v>0</v>
      </c>
      <c r="Q158" s="65">
        <f t="shared" si="199"/>
        <v>300</v>
      </c>
      <c r="R158" s="132"/>
      <c r="S158" s="170">
        <f t="shared" si="200"/>
        <v>365.4</v>
      </c>
      <c r="T158" s="169">
        <f t="shared" si="201"/>
        <v>365.4</v>
      </c>
    </row>
    <row r="159" spans="1:20" s="7" customFormat="1" ht="46.8" x14ac:dyDescent="0.25">
      <c r="A159" s="131">
        <f>IF(J159&lt;&gt;"",1+MAX($A$19:A158),"")</f>
        <v>100</v>
      </c>
      <c r="B159" s="53"/>
      <c r="C159" s="53"/>
      <c r="D159" s="106" t="s">
        <v>65</v>
      </c>
      <c r="E159" s="183" t="s">
        <v>107</v>
      </c>
      <c r="F159" s="179" t="s">
        <v>891</v>
      </c>
      <c r="G159" s="54">
        <v>1</v>
      </c>
      <c r="H159" s="55">
        <f>IF(VLOOKUP(J159,'HOURLY RATES'!B$116:C$124,2,0)=0,$J$3,VLOOKUP(J159,'HOURLY RATES'!B$116:C$124,2,0))</f>
        <v>0</v>
      </c>
      <c r="I159" s="56">
        <f t="shared" si="195"/>
        <v>1</v>
      </c>
      <c r="J159" s="105" t="s">
        <v>251</v>
      </c>
      <c r="K159" s="394">
        <v>5</v>
      </c>
      <c r="L159" s="63">
        <f t="shared" si="196"/>
        <v>5</v>
      </c>
      <c r="M159" s="61">
        <f>IF(VLOOKUP(E159,'HOURLY RATES'!C$6:D$105,2,0)=0,$E$3,VLOOKUP(E159,'HOURLY RATES'!C$6:D$105,2,0))</f>
        <v>60</v>
      </c>
      <c r="N159" s="61">
        <f t="shared" si="197"/>
        <v>300</v>
      </c>
      <c r="O159" s="400">
        <v>0</v>
      </c>
      <c r="P159" s="64">
        <f t="shared" si="198"/>
        <v>0</v>
      </c>
      <c r="Q159" s="65">
        <f t="shared" si="199"/>
        <v>300</v>
      </c>
      <c r="R159" s="132"/>
      <c r="S159" s="170">
        <f t="shared" si="200"/>
        <v>365.4</v>
      </c>
      <c r="T159" s="169">
        <f t="shared" si="201"/>
        <v>365.4</v>
      </c>
    </row>
    <row r="160" spans="1:20" s="7" customFormat="1" ht="46.8" x14ac:dyDescent="0.25">
      <c r="A160" s="131">
        <f>IF(J160&lt;&gt;"",1+MAX($A$19:A159),"")</f>
        <v>101</v>
      </c>
      <c r="B160" s="53"/>
      <c r="C160" s="53"/>
      <c r="D160" s="106" t="s">
        <v>65</v>
      </c>
      <c r="E160" s="183" t="s">
        <v>107</v>
      </c>
      <c r="F160" s="179" t="s">
        <v>892</v>
      </c>
      <c r="G160" s="54">
        <v>1</v>
      </c>
      <c r="H160" s="55">
        <f>IF(VLOOKUP(J160,'HOURLY RATES'!B$116:C$124,2,0)=0,$J$3,VLOOKUP(J160,'HOURLY RATES'!B$116:C$124,2,0))</f>
        <v>0</v>
      </c>
      <c r="I160" s="56">
        <f t="shared" si="195"/>
        <v>1</v>
      </c>
      <c r="J160" s="105" t="s">
        <v>251</v>
      </c>
      <c r="K160" s="394">
        <v>5</v>
      </c>
      <c r="L160" s="63">
        <f t="shared" si="196"/>
        <v>5</v>
      </c>
      <c r="M160" s="61">
        <f>IF(VLOOKUP(E160,'HOURLY RATES'!C$6:D$105,2,0)=0,$E$3,VLOOKUP(E160,'HOURLY RATES'!C$6:D$105,2,0))</f>
        <v>60</v>
      </c>
      <c r="N160" s="61">
        <f t="shared" si="197"/>
        <v>300</v>
      </c>
      <c r="O160" s="400">
        <v>0</v>
      </c>
      <c r="P160" s="64">
        <f t="shared" si="198"/>
        <v>0</v>
      </c>
      <c r="Q160" s="65">
        <f t="shared" si="199"/>
        <v>300</v>
      </c>
      <c r="R160" s="132"/>
      <c r="S160" s="170">
        <f t="shared" si="200"/>
        <v>365.4</v>
      </c>
      <c r="T160" s="169">
        <f t="shared" si="201"/>
        <v>365.4</v>
      </c>
    </row>
    <row r="161" spans="1:20" s="7" customFormat="1" ht="46.8" x14ac:dyDescent="0.25">
      <c r="A161" s="131">
        <f>IF(J161&lt;&gt;"",1+MAX($A$19:A160),"")</f>
        <v>102</v>
      </c>
      <c r="B161" s="53"/>
      <c r="C161" s="53"/>
      <c r="D161" s="106" t="s">
        <v>65</v>
      </c>
      <c r="E161" s="183" t="s">
        <v>107</v>
      </c>
      <c r="F161" s="179" t="s">
        <v>893</v>
      </c>
      <c r="G161" s="54">
        <v>1</v>
      </c>
      <c r="H161" s="55">
        <f>IF(VLOOKUP(J161,'HOURLY RATES'!B$116:C$124,2,0)=0,$J$3,VLOOKUP(J161,'HOURLY RATES'!B$116:C$124,2,0))</f>
        <v>0</v>
      </c>
      <c r="I161" s="56">
        <f t="shared" si="195"/>
        <v>1</v>
      </c>
      <c r="J161" s="105" t="s">
        <v>251</v>
      </c>
      <c r="K161" s="394">
        <v>5</v>
      </c>
      <c r="L161" s="63">
        <f t="shared" si="196"/>
        <v>5</v>
      </c>
      <c r="M161" s="61">
        <f>IF(VLOOKUP(E161,'HOURLY RATES'!C$6:D$105,2,0)=0,$E$3,VLOOKUP(E161,'HOURLY RATES'!C$6:D$105,2,0))</f>
        <v>60</v>
      </c>
      <c r="N161" s="61">
        <f t="shared" si="197"/>
        <v>300</v>
      </c>
      <c r="O161" s="400">
        <v>0</v>
      </c>
      <c r="P161" s="64">
        <f t="shared" si="198"/>
        <v>0</v>
      </c>
      <c r="Q161" s="65">
        <f t="shared" si="199"/>
        <v>300</v>
      </c>
      <c r="R161" s="132"/>
      <c r="S161" s="170">
        <f t="shared" si="200"/>
        <v>365.4</v>
      </c>
      <c r="T161" s="169">
        <f t="shared" si="201"/>
        <v>365.4</v>
      </c>
    </row>
    <row r="162" spans="1:20" s="7" customFormat="1" ht="46.8" x14ac:dyDescent="0.25">
      <c r="A162" s="131">
        <f>IF(J162&lt;&gt;"",1+MAX($A$19:A161),"")</f>
        <v>103</v>
      </c>
      <c r="B162" s="53"/>
      <c r="C162" s="53"/>
      <c r="D162" s="106" t="s">
        <v>65</v>
      </c>
      <c r="E162" s="183" t="s">
        <v>107</v>
      </c>
      <c r="F162" s="179" t="s">
        <v>894</v>
      </c>
      <c r="G162" s="54">
        <v>1</v>
      </c>
      <c r="H162" s="55">
        <f>IF(VLOOKUP(J162,'HOURLY RATES'!B$116:C$124,2,0)=0,$J$3,VLOOKUP(J162,'HOURLY RATES'!B$116:C$124,2,0))</f>
        <v>0</v>
      </c>
      <c r="I162" s="56">
        <f t="shared" si="195"/>
        <v>1</v>
      </c>
      <c r="J162" s="105" t="s">
        <v>251</v>
      </c>
      <c r="K162" s="394">
        <v>5</v>
      </c>
      <c r="L162" s="63">
        <f t="shared" si="196"/>
        <v>5</v>
      </c>
      <c r="M162" s="61">
        <f>IF(VLOOKUP(E162,'HOURLY RATES'!C$6:D$105,2,0)=0,$E$3,VLOOKUP(E162,'HOURLY RATES'!C$6:D$105,2,0))</f>
        <v>60</v>
      </c>
      <c r="N162" s="61">
        <f t="shared" si="197"/>
        <v>300</v>
      </c>
      <c r="O162" s="400">
        <v>0</v>
      </c>
      <c r="P162" s="64">
        <f t="shared" si="198"/>
        <v>0</v>
      </c>
      <c r="Q162" s="65">
        <f t="shared" si="199"/>
        <v>300</v>
      </c>
      <c r="R162" s="132"/>
      <c r="S162" s="170">
        <f t="shared" si="200"/>
        <v>365.4</v>
      </c>
      <c r="T162" s="169">
        <f t="shared" si="201"/>
        <v>365.4</v>
      </c>
    </row>
    <row r="163" spans="1:20" s="7" customFormat="1" ht="46.8" x14ac:dyDescent="0.25">
      <c r="A163" s="131">
        <f>IF(J163&lt;&gt;"",1+MAX($A$19:A162),"")</f>
        <v>104</v>
      </c>
      <c r="B163" s="53"/>
      <c r="C163" s="53"/>
      <c r="D163" s="106" t="s">
        <v>65</v>
      </c>
      <c r="E163" s="183" t="s">
        <v>107</v>
      </c>
      <c r="F163" s="179" t="s">
        <v>895</v>
      </c>
      <c r="G163" s="54">
        <v>1</v>
      </c>
      <c r="H163" s="55">
        <f>IF(VLOOKUP(J163,'HOURLY RATES'!B$116:C$124,2,0)=0,$J$3,VLOOKUP(J163,'HOURLY RATES'!B$116:C$124,2,0))</f>
        <v>0</v>
      </c>
      <c r="I163" s="56">
        <f t="shared" si="195"/>
        <v>1</v>
      </c>
      <c r="J163" s="105" t="s">
        <v>251</v>
      </c>
      <c r="K163" s="394">
        <v>5</v>
      </c>
      <c r="L163" s="63">
        <f t="shared" si="196"/>
        <v>5</v>
      </c>
      <c r="M163" s="61">
        <f>IF(VLOOKUP(E163,'HOURLY RATES'!C$6:D$105,2,0)=0,$E$3,VLOOKUP(E163,'HOURLY RATES'!C$6:D$105,2,0))</f>
        <v>60</v>
      </c>
      <c r="N163" s="61">
        <f t="shared" si="197"/>
        <v>300</v>
      </c>
      <c r="O163" s="400">
        <v>0</v>
      </c>
      <c r="P163" s="64">
        <f t="shared" si="198"/>
        <v>0</v>
      </c>
      <c r="Q163" s="65">
        <f t="shared" si="199"/>
        <v>300</v>
      </c>
      <c r="R163" s="132"/>
      <c r="S163" s="170">
        <f t="shared" si="200"/>
        <v>365.4</v>
      </c>
      <c r="T163" s="169">
        <f t="shared" si="201"/>
        <v>365.4</v>
      </c>
    </row>
    <row r="164" spans="1:20" s="7" customFormat="1" ht="46.8" x14ac:dyDescent="0.25">
      <c r="A164" s="131">
        <f>IF(J164&lt;&gt;"",1+MAX($A$19:A163),"")</f>
        <v>105</v>
      </c>
      <c r="B164" s="53"/>
      <c r="C164" s="53"/>
      <c r="D164" s="106" t="s">
        <v>65</v>
      </c>
      <c r="E164" s="183" t="s">
        <v>107</v>
      </c>
      <c r="F164" s="179" t="s">
        <v>896</v>
      </c>
      <c r="G164" s="54">
        <v>1</v>
      </c>
      <c r="H164" s="55">
        <f>IF(VLOOKUP(J164,'HOURLY RATES'!B$116:C$124,2,0)=0,$J$3,VLOOKUP(J164,'HOURLY RATES'!B$116:C$124,2,0))</f>
        <v>0</v>
      </c>
      <c r="I164" s="56">
        <f t="shared" si="195"/>
        <v>1</v>
      </c>
      <c r="J164" s="105" t="s">
        <v>251</v>
      </c>
      <c r="K164" s="394">
        <v>5</v>
      </c>
      <c r="L164" s="63">
        <f t="shared" si="196"/>
        <v>5</v>
      </c>
      <c r="M164" s="61">
        <f>IF(VLOOKUP(E164,'HOURLY RATES'!C$6:D$105,2,0)=0,$E$3,VLOOKUP(E164,'HOURLY RATES'!C$6:D$105,2,0))</f>
        <v>60</v>
      </c>
      <c r="N164" s="61">
        <f t="shared" si="197"/>
        <v>300</v>
      </c>
      <c r="O164" s="400">
        <v>0</v>
      </c>
      <c r="P164" s="64">
        <f t="shared" si="198"/>
        <v>0</v>
      </c>
      <c r="Q164" s="65">
        <f t="shared" si="199"/>
        <v>300</v>
      </c>
      <c r="R164" s="132"/>
      <c r="S164" s="170">
        <f t="shared" si="200"/>
        <v>365.4</v>
      </c>
      <c r="T164" s="169">
        <f t="shared" si="201"/>
        <v>365.4</v>
      </c>
    </row>
    <row r="165" spans="1:20" s="7" customFormat="1" ht="46.8" x14ac:dyDescent="0.25">
      <c r="A165" s="131">
        <f>IF(J165&lt;&gt;"",1+MAX($A$19:A164),"")</f>
        <v>106</v>
      </c>
      <c r="B165" s="53"/>
      <c r="C165" s="53"/>
      <c r="D165" s="106" t="s">
        <v>65</v>
      </c>
      <c r="E165" s="183" t="s">
        <v>107</v>
      </c>
      <c r="F165" s="179" t="s">
        <v>897</v>
      </c>
      <c r="G165" s="54">
        <v>1</v>
      </c>
      <c r="H165" s="55">
        <f>IF(VLOOKUP(J165,'HOURLY RATES'!B$116:C$124,2,0)=0,$J$3,VLOOKUP(J165,'HOURLY RATES'!B$116:C$124,2,0))</f>
        <v>0</v>
      </c>
      <c r="I165" s="56">
        <f t="shared" si="188"/>
        <v>1</v>
      </c>
      <c r="J165" s="105" t="s">
        <v>251</v>
      </c>
      <c r="K165" s="394">
        <v>5</v>
      </c>
      <c r="L165" s="63">
        <f t="shared" si="189"/>
        <v>5</v>
      </c>
      <c r="M165" s="61">
        <f>IF(VLOOKUP(E165,'HOURLY RATES'!C$6:D$105,2,0)=0,$E$3,VLOOKUP(E165,'HOURLY RATES'!C$6:D$105,2,0))</f>
        <v>60</v>
      </c>
      <c r="N165" s="61">
        <f t="shared" si="190"/>
        <v>300</v>
      </c>
      <c r="O165" s="400">
        <v>0</v>
      </c>
      <c r="P165" s="64">
        <f t="shared" si="191"/>
        <v>0</v>
      </c>
      <c r="Q165" s="65">
        <f t="shared" si="192"/>
        <v>300</v>
      </c>
      <c r="R165" s="132"/>
      <c r="S165" s="170">
        <f t="shared" si="193"/>
        <v>365.4</v>
      </c>
      <c r="T165" s="169">
        <f t="shared" si="194"/>
        <v>365.4</v>
      </c>
    </row>
    <row r="166" spans="1:20" s="7" customFormat="1" ht="46.8" x14ac:dyDescent="0.25">
      <c r="A166" s="131">
        <f>IF(J166&lt;&gt;"",1+MAX($A$19:A165),"")</f>
        <v>107</v>
      </c>
      <c r="B166" s="53"/>
      <c r="C166" s="53"/>
      <c r="D166" s="106" t="s">
        <v>65</v>
      </c>
      <c r="E166" s="183" t="s">
        <v>107</v>
      </c>
      <c r="F166" s="179" t="s">
        <v>898</v>
      </c>
      <c r="G166" s="54">
        <v>1</v>
      </c>
      <c r="H166" s="55">
        <f>IF(VLOOKUP(J166,'HOURLY RATES'!B$116:C$124,2,0)=0,$J$3,VLOOKUP(J166,'HOURLY RATES'!B$116:C$124,2,0))</f>
        <v>0</v>
      </c>
      <c r="I166" s="56">
        <f t="shared" si="188"/>
        <v>1</v>
      </c>
      <c r="J166" s="105" t="s">
        <v>251</v>
      </c>
      <c r="K166" s="394">
        <v>5</v>
      </c>
      <c r="L166" s="63">
        <f t="shared" si="189"/>
        <v>5</v>
      </c>
      <c r="M166" s="61">
        <f>IF(VLOOKUP(E166,'HOURLY RATES'!C$6:D$105,2,0)=0,$E$3,VLOOKUP(E166,'HOURLY RATES'!C$6:D$105,2,0))</f>
        <v>60</v>
      </c>
      <c r="N166" s="61">
        <f t="shared" si="190"/>
        <v>300</v>
      </c>
      <c r="O166" s="400">
        <v>0</v>
      </c>
      <c r="P166" s="64">
        <f t="shared" si="191"/>
        <v>0</v>
      </c>
      <c r="Q166" s="65">
        <f t="shared" si="192"/>
        <v>300</v>
      </c>
      <c r="R166" s="132"/>
      <c r="S166" s="170">
        <f t="shared" si="193"/>
        <v>365.4</v>
      </c>
      <c r="T166" s="169">
        <f t="shared" si="194"/>
        <v>365.4</v>
      </c>
    </row>
    <row r="167" spans="1:20" s="7" customFormat="1" ht="46.8" x14ac:dyDescent="0.25">
      <c r="A167" s="131">
        <f>IF(J167&lt;&gt;"",1+MAX($A$19:A166),"")</f>
        <v>108</v>
      </c>
      <c r="B167" s="53"/>
      <c r="C167" s="53"/>
      <c r="D167" s="106" t="s">
        <v>65</v>
      </c>
      <c r="E167" s="183" t="s">
        <v>107</v>
      </c>
      <c r="F167" s="179" t="s">
        <v>899</v>
      </c>
      <c r="G167" s="54">
        <v>1</v>
      </c>
      <c r="H167" s="55">
        <f>IF(VLOOKUP(J167,'HOURLY RATES'!B$116:C$124,2,0)=0,$J$3,VLOOKUP(J167,'HOURLY RATES'!B$116:C$124,2,0))</f>
        <v>0</v>
      </c>
      <c r="I167" s="56">
        <f t="shared" si="188"/>
        <v>1</v>
      </c>
      <c r="J167" s="105" t="s">
        <v>251</v>
      </c>
      <c r="K167" s="394">
        <v>5</v>
      </c>
      <c r="L167" s="63">
        <f t="shared" si="189"/>
        <v>5</v>
      </c>
      <c r="M167" s="61">
        <f>IF(VLOOKUP(E167,'HOURLY RATES'!C$6:D$105,2,0)=0,$E$3,VLOOKUP(E167,'HOURLY RATES'!C$6:D$105,2,0))</f>
        <v>60</v>
      </c>
      <c r="N167" s="61">
        <f t="shared" si="190"/>
        <v>300</v>
      </c>
      <c r="O167" s="400">
        <v>0</v>
      </c>
      <c r="P167" s="64">
        <f t="shared" si="191"/>
        <v>0</v>
      </c>
      <c r="Q167" s="65">
        <f t="shared" si="192"/>
        <v>300</v>
      </c>
      <c r="R167" s="132"/>
      <c r="S167" s="170">
        <f t="shared" si="193"/>
        <v>365.4</v>
      </c>
      <c r="T167" s="169">
        <f t="shared" si="194"/>
        <v>365.4</v>
      </c>
    </row>
    <row r="168" spans="1:20" s="7" customFormat="1" ht="46.8" x14ac:dyDescent="0.25">
      <c r="A168" s="131">
        <f>IF(J168&lt;&gt;"",1+MAX($A$19:A167),"")</f>
        <v>109</v>
      </c>
      <c r="B168" s="53"/>
      <c r="C168" s="53"/>
      <c r="D168" s="106" t="s">
        <v>65</v>
      </c>
      <c r="E168" s="183" t="s">
        <v>107</v>
      </c>
      <c r="F168" s="179" t="s">
        <v>900</v>
      </c>
      <c r="G168" s="54">
        <v>1</v>
      </c>
      <c r="H168" s="55">
        <f>IF(VLOOKUP(J168,'HOURLY RATES'!B$116:C$124,2,0)=0,$J$3,VLOOKUP(J168,'HOURLY RATES'!B$116:C$124,2,0))</f>
        <v>0</v>
      </c>
      <c r="I168" s="56">
        <f t="shared" ref="I168:I175" si="202">(G168*(1+H168))</f>
        <v>1</v>
      </c>
      <c r="J168" s="105" t="s">
        <v>251</v>
      </c>
      <c r="K168" s="394">
        <v>5</v>
      </c>
      <c r="L168" s="63">
        <f t="shared" ref="L168:L175" si="203">K168*I168</f>
        <v>5</v>
      </c>
      <c r="M168" s="61">
        <f>IF(VLOOKUP(E168,'HOURLY RATES'!C$6:D$105,2,0)=0,$E$3,VLOOKUP(E168,'HOURLY RATES'!C$6:D$105,2,0))</f>
        <v>60</v>
      </c>
      <c r="N168" s="61">
        <f t="shared" ref="N168:N175" si="204">M168*L168</f>
        <v>300</v>
      </c>
      <c r="O168" s="400">
        <v>0</v>
      </c>
      <c r="P168" s="64">
        <f t="shared" ref="P168:P175" si="205">O168*I168</f>
        <v>0</v>
      </c>
      <c r="Q168" s="65">
        <f t="shared" ref="Q168:Q175" si="206">P168+N168</f>
        <v>300</v>
      </c>
      <c r="R168" s="132"/>
      <c r="S168" s="170">
        <f t="shared" ref="S168:S175" si="207">((((N168*(1+$D$7))+(P168*(1+$D$5+$D$6)))*(1+$D$8)))/I168</f>
        <v>365.4</v>
      </c>
      <c r="T168" s="169">
        <f t="shared" ref="T168:T175" si="208">S168*I168</f>
        <v>365.4</v>
      </c>
    </row>
    <row r="169" spans="1:20" s="7" customFormat="1" ht="46.8" x14ac:dyDescent="0.25">
      <c r="A169" s="131">
        <f>IF(J169&lt;&gt;"",1+MAX($A$19:A168),"")</f>
        <v>110</v>
      </c>
      <c r="B169" s="53"/>
      <c r="C169" s="53"/>
      <c r="D169" s="106" t="s">
        <v>65</v>
      </c>
      <c r="E169" s="183" t="s">
        <v>107</v>
      </c>
      <c r="F169" s="179" t="s">
        <v>948</v>
      </c>
      <c r="G169" s="54">
        <v>1</v>
      </c>
      <c r="H169" s="55">
        <f>IF(VLOOKUP(J169,'HOURLY RATES'!B$116:C$124,2,0)=0,$J$3,VLOOKUP(J169,'HOURLY RATES'!B$116:C$124,2,0))</f>
        <v>0</v>
      </c>
      <c r="I169" s="56">
        <f t="shared" si="202"/>
        <v>1</v>
      </c>
      <c r="J169" s="105" t="s">
        <v>251</v>
      </c>
      <c r="K169" s="394">
        <v>5</v>
      </c>
      <c r="L169" s="63">
        <f t="shared" si="203"/>
        <v>5</v>
      </c>
      <c r="M169" s="61">
        <f>IF(VLOOKUP(E169,'HOURLY RATES'!C$6:D$105,2,0)=0,$E$3,VLOOKUP(E169,'HOURLY RATES'!C$6:D$105,2,0))</f>
        <v>60</v>
      </c>
      <c r="N169" s="61">
        <f t="shared" si="204"/>
        <v>300</v>
      </c>
      <c r="O169" s="400">
        <v>0</v>
      </c>
      <c r="P169" s="64">
        <f t="shared" si="205"/>
        <v>0</v>
      </c>
      <c r="Q169" s="65">
        <f t="shared" si="206"/>
        <v>300</v>
      </c>
      <c r="R169" s="132"/>
      <c r="S169" s="170">
        <f t="shared" si="207"/>
        <v>365.4</v>
      </c>
      <c r="T169" s="169">
        <f t="shared" si="208"/>
        <v>365.4</v>
      </c>
    </row>
    <row r="170" spans="1:20" s="7" customFormat="1" ht="46.8" x14ac:dyDescent="0.25">
      <c r="A170" s="131">
        <f>IF(J170&lt;&gt;"",1+MAX($A$19:A169),"")</f>
        <v>111</v>
      </c>
      <c r="B170" s="53"/>
      <c r="C170" s="53"/>
      <c r="D170" s="106" t="s">
        <v>65</v>
      </c>
      <c r="E170" s="183" t="s">
        <v>107</v>
      </c>
      <c r="F170" s="179" t="s">
        <v>949</v>
      </c>
      <c r="G170" s="54">
        <v>1</v>
      </c>
      <c r="H170" s="55">
        <f>IF(VLOOKUP(J170,'HOURLY RATES'!B$116:C$124,2,0)=0,$J$3,VLOOKUP(J170,'HOURLY RATES'!B$116:C$124,2,0))</f>
        <v>0</v>
      </c>
      <c r="I170" s="56">
        <f t="shared" ref="I170" si="209">(G170*(1+H170))</f>
        <v>1</v>
      </c>
      <c r="J170" s="105" t="s">
        <v>251</v>
      </c>
      <c r="K170" s="394">
        <v>5</v>
      </c>
      <c r="L170" s="63">
        <f t="shared" ref="L170" si="210">K170*I170</f>
        <v>5</v>
      </c>
      <c r="M170" s="61">
        <f>IF(VLOOKUP(E170,'HOURLY RATES'!C$6:D$105,2,0)=0,$E$3,VLOOKUP(E170,'HOURLY RATES'!C$6:D$105,2,0))</f>
        <v>60</v>
      </c>
      <c r="N170" s="61">
        <f t="shared" ref="N170" si="211">M170*L170</f>
        <v>300</v>
      </c>
      <c r="O170" s="400">
        <v>0</v>
      </c>
      <c r="P170" s="64">
        <f t="shared" ref="P170" si="212">O170*I170</f>
        <v>0</v>
      </c>
      <c r="Q170" s="65">
        <f t="shared" ref="Q170" si="213">P170+N170</f>
        <v>300</v>
      </c>
      <c r="R170" s="132"/>
      <c r="S170" s="170">
        <f t="shared" ref="S170" si="214">((((N170*(1+$D$7))+(P170*(1+$D$5+$D$6)))*(1+$D$8)))/I170</f>
        <v>365.4</v>
      </c>
      <c r="T170" s="169">
        <f t="shared" ref="T170" si="215">S170*I170</f>
        <v>365.4</v>
      </c>
    </row>
    <row r="171" spans="1:20" s="7" customFormat="1" ht="46.8" x14ac:dyDescent="0.25">
      <c r="A171" s="131">
        <f>IF(J171&lt;&gt;"",1+MAX($A$19:A170),"")</f>
        <v>112</v>
      </c>
      <c r="B171" s="53"/>
      <c r="C171" s="53"/>
      <c r="D171" s="106" t="s">
        <v>65</v>
      </c>
      <c r="E171" s="183" t="s">
        <v>107</v>
      </c>
      <c r="F171" s="179" t="s">
        <v>950</v>
      </c>
      <c r="G171" s="54">
        <v>1</v>
      </c>
      <c r="H171" s="55">
        <f>IF(VLOOKUP(J171,'HOURLY RATES'!B$116:C$124,2,0)=0,$J$3,VLOOKUP(J171,'HOURLY RATES'!B$116:C$124,2,0))</f>
        <v>0</v>
      </c>
      <c r="I171" s="56">
        <f t="shared" si="202"/>
        <v>1</v>
      </c>
      <c r="J171" s="105" t="s">
        <v>251</v>
      </c>
      <c r="K171" s="394">
        <v>5</v>
      </c>
      <c r="L171" s="63">
        <f t="shared" si="203"/>
        <v>5</v>
      </c>
      <c r="M171" s="61">
        <f>IF(VLOOKUP(E171,'HOURLY RATES'!C$6:D$105,2,0)=0,$E$3,VLOOKUP(E171,'HOURLY RATES'!C$6:D$105,2,0))</f>
        <v>60</v>
      </c>
      <c r="N171" s="61">
        <f t="shared" si="204"/>
        <v>300</v>
      </c>
      <c r="O171" s="400">
        <v>0</v>
      </c>
      <c r="P171" s="64">
        <f t="shared" si="205"/>
        <v>0</v>
      </c>
      <c r="Q171" s="65">
        <f t="shared" si="206"/>
        <v>300</v>
      </c>
      <c r="R171" s="132"/>
      <c r="S171" s="170">
        <f t="shared" si="207"/>
        <v>365.4</v>
      </c>
      <c r="T171" s="169">
        <f t="shared" si="208"/>
        <v>365.4</v>
      </c>
    </row>
    <row r="172" spans="1:20" s="7" customFormat="1" ht="46.8" x14ac:dyDescent="0.25">
      <c r="A172" s="131">
        <f>IF(J172&lt;&gt;"",1+MAX($A$19:A171),"")</f>
        <v>113</v>
      </c>
      <c r="B172" s="53"/>
      <c r="C172" s="53"/>
      <c r="D172" s="106" t="s">
        <v>65</v>
      </c>
      <c r="E172" s="183" t="s">
        <v>107</v>
      </c>
      <c r="F172" s="179" t="s">
        <v>951</v>
      </c>
      <c r="G172" s="54">
        <v>1</v>
      </c>
      <c r="H172" s="55">
        <f>IF(VLOOKUP(J172,'HOURLY RATES'!B$116:C$124,2,0)=0,$J$3,VLOOKUP(J172,'HOURLY RATES'!B$116:C$124,2,0))</f>
        <v>0</v>
      </c>
      <c r="I172" s="56">
        <f t="shared" ref="I172" si="216">(G172*(1+H172))</f>
        <v>1</v>
      </c>
      <c r="J172" s="105" t="s">
        <v>251</v>
      </c>
      <c r="K172" s="394">
        <v>5</v>
      </c>
      <c r="L172" s="63">
        <f t="shared" ref="L172" si="217">K172*I172</f>
        <v>5</v>
      </c>
      <c r="M172" s="61">
        <f>IF(VLOOKUP(E172,'HOURLY RATES'!C$6:D$105,2,0)=0,$E$3,VLOOKUP(E172,'HOURLY RATES'!C$6:D$105,2,0))</f>
        <v>60</v>
      </c>
      <c r="N172" s="61">
        <f t="shared" ref="N172" si="218">M172*L172</f>
        <v>300</v>
      </c>
      <c r="O172" s="400">
        <v>0</v>
      </c>
      <c r="P172" s="64">
        <f t="shared" ref="P172" si="219">O172*I172</f>
        <v>0</v>
      </c>
      <c r="Q172" s="65">
        <f t="shared" ref="Q172" si="220">P172+N172</f>
        <v>300</v>
      </c>
      <c r="R172" s="132"/>
      <c r="S172" s="170">
        <f t="shared" ref="S172" si="221">((((N172*(1+$D$7))+(P172*(1+$D$5+$D$6)))*(1+$D$8)))/I172</f>
        <v>365.4</v>
      </c>
      <c r="T172" s="169">
        <f t="shared" ref="T172" si="222">S172*I172</f>
        <v>365.4</v>
      </c>
    </row>
    <row r="173" spans="1:20" s="7" customFormat="1" ht="46.8" x14ac:dyDescent="0.25">
      <c r="A173" s="131">
        <f>IF(J173&lt;&gt;"",1+MAX($A$19:A172),"")</f>
        <v>114</v>
      </c>
      <c r="B173" s="53"/>
      <c r="C173" s="53"/>
      <c r="D173" s="106" t="s">
        <v>65</v>
      </c>
      <c r="E173" s="183" t="s">
        <v>107</v>
      </c>
      <c r="F173" s="179" t="s">
        <v>952</v>
      </c>
      <c r="G173" s="54">
        <v>1</v>
      </c>
      <c r="H173" s="55">
        <f>IF(VLOOKUP(J173,'HOURLY RATES'!B$116:C$124,2,0)=0,$J$3,VLOOKUP(J173,'HOURLY RATES'!B$116:C$124,2,0))</f>
        <v>0</v>
      </c>
      <c r="I173" s="56">
        <f t="shared" si="202"/>
        <v>1</v>
      </c>
      <c r="J173" s="105" t="s">
        <v>251</v>
      </c>
      <c r="K173" s="394">
        <v>5</v>
      </c>
      <c r="L173" s="63">
        <f t="shared" si="203"/>
        <v>5</v>
      </c>
      <c r="M173" s="61">
        <f>IF(VLOOKUP(E173,'HOURLY RATES'!C$6:D$105,2,0)=0,$E$3,VLOOKUP(E173,'HOURLY RATES'!C$6:D$105,2,0))</f>
        <v>60</v>
      </c>
      <c r="N173" s="61">
        <f t="shared" si="204"/>
        <v>300</v>
      </c>
      <c r="O173" s="400">
        <v>0</v>
      </c>
      <c r="P173" s="64">
        <f t="shared" si="205"/>
        <v>0</v>
      </c>
      <c r="Q173" s="65">
        <f t="shared" si="206"/>
        <v>300</v>
      </c>
      <c r="R173" s="132"/>
      <c r="S173" s="170">
        <f t="shared" si="207"/>
        <v>365.4</v>
      </c>
      <c r="T173" s="169">
        <f t="shared" si="208"/>
        <v>365.4</v>
      </c>
    </row>
    <row r="174" spans="1:20" s="7" customFormat="1" ht="46.8" x14ac:dyDescent="0.25">
      <c r="A174" s="131">
        <f>IF(J174&lt;&gt;"",1+MAX($A$19:A173),"")</f>
        <v>115</v>
      </c>
      <c r="B174" s="53"/>
      <c r="C174" s="53"/>
      <c r="D174" s="106" t="s">
        <v>65</v>
      </c>
      <c r="E174" s="183" t="s">
        <v>107</v>
      </c>
      <c r="F174" s="179" t="s">
        <v>953</v>
      </c>
      <c r="G174" s="54">
        <v>1</v>
      </c>
      <c r="H174" s="55">
        <f>IF(VLOOKUP(J174,'HOURLY RATES'!B$116:C$124,2,0)=0,$J$3,VLOOKUP(J174,'HOURLY RATES'!B$116:C$124,2,0))</f>
        <v>0</v>
      </c>
      <c r="I174" s="56">
        <f t="shared" ref="I174" si="223">(G174*(1+H174))</f>
        <v>1</v>
      </c>
      <c r="J174" s="105" t="s">
        <v>251</v>
      </c>
      <c r="K174" s="394">
        <v>5</v>
      </c>
      <c r="L174" s="63">
        <f t="shared" ref="L174" si="224">K174*I174</f>
        <v>5</v>
      </c>
      <c r="M174" s="61">
        <f>IF(VLOOKUP(E174,'HOURLY RATES'!C$6:D$105,2,0)=0,$E$3,VLOOKUP(E174,'HOURLY RATES'!C$6:D$105,2,0))</f>
        <v>60</v>
      </c>
      <c r="N174" s="61">
        <f t="shared" ref="N174" si="225">M174*L174</f>
        <v>300</v>
      </c>
      <c r="O174" s="400">
        <v>0</v>
      </c>
      <c r="P174" s="64">
        <f t="shared" ref="P174" si="226">O174*I174</f>
        <v>0</v>
      </c>
      <c r="Q174" s="65">
        <f t="shared" ref="Q174" si="227">P174+N174</f>
        <v>300</v>
      </c>
      <c r="R174" s="132"/>
      <c r="S174" s="170">
        <f t="shared" ref="S174" si="228">((((N174*(1+$D$7))+(P174*(1+$D$5+$D$6)))*(1+$D$8)))/I174</f>
        <v>365.4</v>
      </c>
      <c r="T174" s="169">
        <f t="shared" ref="T174" si="229">S174*I174</f>
        <v>365.4</v>
      </c>
    </row>
    <row r="175" spans="1:20" s="7" customFormat="1" ht="46.8" x14ac:dyDescent="0.25">
      <c r="A175" s="131">
        <f>IF(J175&lt;&gt;"",1+MAX($A$19:A174),"")</f>
        <v>116</v>
      </c>
      <c r="B175" s="53"/>
      <c r="C175" s="53"/>
      <c r="D175" s="106" t="s">
        <v>65</v>
      </c>
      <c r="E175" s="183" t="s">
        <v>107</v>
      </c>
      <c r="F175" s="179" t="s">
        <v>957</v>
      </c>
      <c r="G175" s="54">
        <v>1</v>
      </c>
      <c r="H175" s="55">
        <f>IF(VLOOKUP(J175,'HOURLY RATES'!B$116:C$124,2,0)=0,$J$3,VLOOKUP(J175,'HOURLY RATES'!B$116:C$124,2,0))</f>
        <v>0</v>
      </c>
      <c r="I175" s="56">
        <f t="shared" si="202"/>
        <v>1</v>
      </c>
      <c r="J175" s="105" t="s">
        <v>251</v>
      </c>
      <c r="K175" s="394">
        <v>5</v>
      </c>
      <c r="L175" s="63">
        <f t="shared" si="203"/>
        <v>5</v>
      </c>
      <c r="M175" s="61">
        <f>IF(VLOOKUP(E175,'HOURLY RATES'!C$6:D$105,2,0)=0,$E$3,VLOOKUP(E175,'HOURLY RATES'!C$6:D$105,2,0))</f>
        <v>60</v>
      </c>
      <c r="N175" s="61">
        <f t="shared" si="204"/>
        <v>300</v>
      </c>
      <c r="O175" s="400">
        <v>0</v>
      </c>
      <c r="P175" s="64">
        <f t="shared" si="205"/>
        <v>0</v>
      </c>
      <c r="Q175" s="65">
        <f t="shared" si="206"/>
        <v>300</v>
      </c>
      <c r="R175" s="132"/>
      <c r="S175" s="170">
        <f t="shared" si="207"/>
        <v>365.4</v>
      </c>
      <c r="T175" s="169">
        <f t="shared" si="208"/>
        <v>365.4</v>
      </c>
    </row>
    <row r="176" spans="1:20" s="7" customFormat="1" ht="46.8" x14ac:dyDescent="0.25">
      <c r="A176" s="131">
        <f>IF(J176&lt;&gt;"",1+MAX($A$19:A175),"")</f>
        <v>117</v>
      </c>
      <c r="B176" s="53"/>
      <c r="C176" s="53"/>
      <c r="D176" s="106" t="s">
        <v>65</v>
      </c>
      <c r="E176" s="183" t="s">
        <v>107</v>
      </c>
      <c r="F176" s="179" t="s">
        <v>954</v>
      </c>
      <c r="G176" s="54">
        <v>1</v>
      </c>
      <c r="H176" s="55">
        <f>IF(VLOOKUP(J176,'HOURLY RATES'!B$116:C$124,2,0)=0,$J$3,VLOOKUP(J176,'HOURLY RATES'!B$116:C$124,2,0))</f>
        <v>0</v>
      </c>
      <c r="I176" s="56">
        <f t="shared" ref="I176" si="230">(G176*(1+H176))</f>
        <v>1</v>
      </c>
      <c r="J176" s="105" t="s">
        <v>251</v>
      </c>
      <c r="K176" s="394">
        <v>5</v>
      </c>
      <c r="L176" s="63">
        <f t="shared" ref="L176" si="231">K176*I176</f>
        <v>5</v>
      </c>
      <c r="M176" s="61">
        <f>IF(VLOOKUP(E176,'HOURLY RATES'!C$6:D$105,2,0)=0,$E$3,VLOOKUP(E176,'HOURLY RATES'!C$6:D$105,2,0))</f>
        <v>60</v>
      </c>
      <c r="N176" s="61">
        <f t="shared" ref="N176" si="232">M176*L176</f>
        <v>300</v>
      </c>
      <c r="O176" s="400">
        <v>0</v>
      </c>
      <c r="P176" s="64">
        <f t="shared" ref="P176" si="233">O176*I176</f>
        <v>0</v>
      </c>
      <c r="Q176" s="65">
        <f t="shared" ref="Q176" si="234">P176+N176</f>
        <v>300</v>
      </c>
      <c r="R176" s="132"/>
      <c r="S176" s="170">
        <f t="shared" ref="S176" si="235">((((N176*(1+$D$7))+(P176*(1+$D$5+$D$6)))*(1+$D$8)))/I176</f>
        <v>365.4</v>
      </c>
      <c r="T176" s="169">
        <f t="shared" ref="T176" si="236">S176*I176</f>
        <v>365.4</v>
      </c>
    </row>
    <row r="177" spans="1:20" s="7" customFormat="1" ht="46.8" x14ac:dyDescent="0.25">
      <c r="A177" s="131">
        <f>IF(J177&lt;&gt;"",1+MAX($A$19:A176),"")</f>
        <v>118</v>
      </c>
      <c r="B177" s="53"/>
      <c r="C177" s="53"/>
      <c r="D177" s="106" t="s">
        <v>65</v>
      </c>
      <c r="E177" s="183" t="s">
        <v>107</v>
      </c>
      <c r="F177" s="179" t="s">
        <v>955</v>
      </c>
      <c r="G177" s="54">
        <v>1</v>
      </c>
      <c r="H177" s="55">
        <f>IF(VLOOKUP(J177,'HOURLY RATES'!B$116:C$124,2,0)=0,$J$3,VLOOKUP(J177,'HOURLY RATES'!B$116:C$124,2,0))</f>
        <v>0</v>
      </c>
      <c r="I177" s="56">
        <f t="shared" si="188"/>
        <v>1</v>
      </c>
      <c r="J177" s="105" t="s">
        <v>251</v>
      </c>
      <c r="K177" s="394">
        <v>5</v>
      </c>
      <c r="L177" s="63">
        <f t="shared" si="189"/>
        <v>5</v>
      </c>
      <c r="M177" s="61">
        <f>IF(VLOOKUP(E177,'HOURLY RATES'!C$6:D$105,2,0)=0,$E$3,VLOOKUP(E177,'HOURLY RATES'!C$6:D$105,2,0))</f>
        <v>60</v>
      </c>
      <c r="N177" s="61">
        <f t="shared" si="190"/>
        <v>300</v>
      </c>
      <c r="O177" s="400">
        <v>0</v>
      </c>
      <c r="P177" s="64">
        <f t="shared" si="191"/>
        <v>0</v>
      </c>
      <c r="Q177" s="65">
        <f t="shared" si="192"/>
        <v>300</v>
      </c>
      <c r="R177" s="132"/>
      <c r="S177" s="170">
        <f t="shared" si="193"/>
        <v>365.4</v>
      </c>
      <c r="T177" s="169">
        <f t="shared" si="194"/>
        <v>365.4</v>
      </c>
    </row>
    <row r="178" spans="1:20" s="7" customFormat="1" x14ac:dyDescent="0.25">
      <c r="A178" s="131" t="str">
        <f>IF(J178&lt;&gt;"",1+MAX($A$19:A177),"")</f>
        <v/>
      </c>
      <c r="B178" s="53"/>
      <c r="C178" s="53"/>
      <c r="D178" s="106"/>
      <c r="E178" s="183"/>
      <c r="F178" s="179" t="s">
        <v>248</v>
      </c>
      <c r="G178" s="54"/>
      <c r="H178" s="55"/>
      <c r="I178" s="56"/>
      <c r="J178" s="105"/>
      <c r="K178" s="394"/>
      <c r="L178" s="63"/>
      <c r="M178" s="61"/>
      <c r="N178" s="61"/>
      <c r="O178" s="64"/>
      <c r="P178" s="64"/>
      <c r="Q178" s="65"/>
      <c r="R178" s="132"/>
      <c r="S178" s="170"/>
      <c r="T178" s="169"/>
    </row>
    <row r="179" spans="1:20" s="7" customFormat="1" x14ac:dyDescent="0.25">
      <c r="A179" s="131" t="str">
        <f>IF(J179&lt;&gt;"",1+MAX($A$19:A178),"")</f>
        <v/>
      </c>
      <c r="B179" s="53"/>
      <c r="C179" s="66"/>
      <c r="D179" s="106"/>
      <c r="E179" s="183"/>
      <c r="F179" s="176" t="s">
        <v>768</v>
      </c>
      <c r="G179" s="54"/>
      <c r="H179" s="55"/>
      <c r="I179" s="56"/>
      <c r="J179" s="105"/>
      <c r="K179" s="394"/>
      <c r="L179" s="63"/>
      <c r="M179" s="61"/>
      <c r="N179" s="61"/>
      <c r="O179" s="64"/>
      <c r="P179" s="64"/>
      <c r="Q179" s="65"/>
      <c r="R179" s="132"/>
      <c r="S179" s="170"/>
      <c r="T179" s="169"/>
    </row>
    <row r="180" spans="1:20" s="7" customFormat="1" x14ac:dyDescent="0.25">
      <c r="A180" s="131">
        <f>IF(J180&lt;&gt;"",1+MAX($A$19:A179),"")</f>
        <v>119</v>
      </c>
      <c r="B180" s="53"/>
      <c r="C180" s="53"/>
      <c r="D180" s="106" t="s">
        <v>65</v>
      </c>
      <c r="E180" s="183" t="s">
        <v>107</v>
      </c>
      <c r="F180" s="179" t="s">
        <v>795</v>
      </c>
      <c r="G180" s="54">
        <v>3</v>
      </c>
      <c r="H180" s="55">
        <f>IF(VLOOKUP(J180,'HOURLY RATES'!B$116:C$124,2,0)=0,$J$3,VLOOKUP(J180,'HOURLY RATES'!B$116:C$124,2,0))</f>
        <v>0</v>
      </c>
      <c r="I180" s="56">
        <f t="shared" ref="I180" si="237">(G180*(1+H180))</f>
        <v>3</v>
      </c>
      <c r="J180" s="105" t="s">
        <v>251</v>
      </c>
      <c r="K180" s="394">
        <v>6</v>
      </c>
      <c r="L180" s="63">
        <f t="shared" ref="L180" si="238">K180*I180</f>
        <v>18</v>
      </c>
      <c r="M180" s="61">
        <f>IF(VLOOKUP(E180,'HOURLY RATES'!C$6:D$105,2,0)=0,$E$3,VLOOKUP(E180,'HOURLY RATES'!C$6:D$105,2,0))</f>
        <v>60</v>
      </c>
      <c r="N180" s="61">
        <f t="shared" ref="N180" si="239">M180*L180</f>
        <v>1080</v>
      </c>
      <c r="O180" s="64">
        <v>2970</v>
      </c>
      <c r="P180" s="64">
        <f t="shared" ref="P180" si="240">O180*I180</f>
        <v>8910</v>
      </c>
      <c r="Q180" s="65">
        <f t="shared" ref="Q180" si="241">P180+N180</f>
        <v>9990</v>
      </c>
      <c r="R180" s="132"/>
      <c r="S180" s="170">
        <f t="shared" ref="S180" si="242">((((N180*(1+$D$7))+(P180*(1+$D$5+$D$6)))*(1+$D$8)))/I180</f>
        <v>4296.199634999999</v>
      </c>
      <c r="T180" s="169">
        <f t="shared" ref="T180" si="243">S180*I180</f>
        <v>12888.598904999997</v>
      </c>
    </row>
    <row r="181" spans="1:20" s="7" customFormat="1" x14ac:dyDescent="0.25">
      <c r="A181" s="131" t="str">
        <f>IF(J181&lt;&gt;"",1+MAX($A$19:A180),"")</f>
        <v/>
      </c>
      <c r="B181" s="53"/>
      <c r="C181" s="53"/>
      <c r="D181" s="106"/>
      <c r="E181" s="183"/>
      <c r="F181" s="179" t="s">
        <v>248</v>
      </c>
      <c r="G181" s="54"/>
      <c r="H181" s="55"/>
      <c r="I181" s="56"/>
      <c r="J181" s="105"/>
      <c r="K181" s="394"/>
      <c r="L181" s="63"/>
      <c r="M181" s="61"/>
      <c r="N181" s="61"/>
      <c r="O181" s="64"/>
      <c r="P181" s="64"/>
      <c r="Q181" s="65"/>
      <c r="R181" s="132"/>
      <c r="S181" s="170"/>
      <c r="T181" s="169"/>
    </row>
    <row r="182" spans="1:20" s="7" customFormat="1" x14ac:dyDescent="0.25">
      <c r="A182" s="131" t="str">
        <f>IF(J182&lt;&gt;"",1+MAX($A$19:A181),"")</f>
        <v/>
      </c>
      <c r="B182" s="53"/>
      <c r="C182" s="66"/>
      <c r="D182" s="106"/>
      <c r="E182" s="183"/>
      <c r="F182" s="176" t="s">
        <v>778</v>
      </c>
      <c r="G182" s="54"/>
      <c r="H182" s="55"/>
      <c r="I182" s="56"/>
      <c r="J182" s="105"/>
      <c r="K182" s="394"/>
      <c r="L182" s="63"/>
      <c r="M182" s="61"/>
      <c r="N182" s="61"/>
      <c r="O182" s="64"/>
      <c r="P182" s="64"/>
      <c r="Q182" s="65"/>
      <c r="R182" s="132"/>
      <c r="S182" s="170"/>
      <c r="T182" s="169"/>
    </row>
    <row r="183" spans="1:20" s="7" customFormat="1" x14ac:dyDescent="0.25">
      <c r="A183" s="131">
        <f>IF(J183&lt;&gt;"",1+MAX($A$19:A182),"")</f>
        <v>120</v>
      </c>
      <c r="B183" s="53"/>
      <c r="C183" s="53"/>
      <c r="D183" s="106" t="s">
        <v>65</v>
      </c>
      <c r="E183" s="183" t="s">
        <v>107</v>
      </c>
      <c r="F183" s="179" t="s">
        <v>938</v>
      </c>
      <c r="G183" s="54">
        <v>78</v>
      </c>
      <c r="H183" s="55">
        <f>IF(VLOOKUP(J183,'HOURLY RATES'!B$116:C$124,2,0)=0,$J$3,VLOOKUP(J183,'HOURLY RATES'!B$116:C$124,2,0))</f>
        <v>0.05</v>
      </c>
      <c r="I183" s="56">
        <f t="shared" ref="I183" si="244">(G183*(1+H183))</f>
        <v>81.900000000000006</v>
      </c>
      <c r="J183" s="105" t="s">
        <v>250</v>
      </c>
      <c r="K183" s="394">
        <v>2.8</v>
      </c>
      <c r="L183" s="63">
        <f t="shared" ref="L183" si="245">K183*I183</f>
        <v>229.32</v>
      </c>
      <c r="M183" s="61">
        <f>IF(VLOOKUP(E183,'HOURLY RATES'!C$6:D$105,2,0)=0,$E$3,VLOOKUP(E183,'HOURLY RATES'!C$6:D$105,2,0))</f>
        <v>60</v>
      </c>
      <c r="N183" s="61">
        <f t="shared" ref="N183" si="246">M183*L183</f>
        <v>13759.199999999999</v>
      </c>
      <c r="O183" s="64">
        <v>160.3125</v>
      </c>
      <c r="P183" s="64">
        <f t="shared" ref="P183" si="247">O183*I183</f>
        <v>13129.593750000002</v>
      </c>
      <c r="Q183" s="65">
        <f t="shared" ref="Q183" si="248">P183+N183</f>
        <v>26888.793750000001</v>
      </c>
      <c r="R183" s="132"/>
      <c r="S183" s="170">
        <f t="shared" ref="S183" si="249">((((N183*(1+$D$7))+(P183*(1+$D$5+$D$6)))*(1+$D$8)))/I183</f>
        <v>412.85318484374983</v>
      </c>
      <c r="T183" s="169">
        <f t="shared" ref="T183" si="250">S183*I183</f>
        <v>33812.675838703115</v>
      </c>
    </row>
    <row r="184" spans="1:20" s="7" customFormat="1" x14ac:dyDescent="0.25">
      <c r="A184" s="131">
        <f>IF(J184&lt;&gt;"",1+MAX($A$19:A183),"")</f>
        <v>121</v>
      </c>
      <c r="B184" s="53"/>
      <c r="C184" s="53"/>
      <c r="D184" s="106" t="s">
        <v>65</v>
      </c>
      <c r="E184" s="183" t="s">
        <v>107</v>
      </c>
      <c r="F184" s="179" t="s">
        <v>939</v>
      </c>
      <c r="G184" s="54">
        <v>44</v>
      </c>
      <c r="H184" s="55">
        <f>IF(VLOOKUP(J184,'HOURLY RATES'!B$116:C$124,2,0)=0,$J$3,VLOOKUP(J184,'HOURLY RATES'!B$116:C$124,2,0))</f>
        <v>0.05</v>
      </c>
      <c r="I184" s="56">
        <f t="shared" ref="I184" si="251">(G184*(1+H184))</f>
        <v>46.2</v>
      </c>
      <c r="J184" s="105" t="s">
        <v>250</v>
      </c>
      <c r="K184" s="394">
        <v>3.75</v>
      </c>
      <c r="L184" s="63">
        <f t="shared" ref="L184" si="252">K184*I184</f>
        <v>173.25</v>
      </c>
      <c r="M184" s="61">
        <f>IF(VLOOKUP(E184,'HOURLY RATES'!C$6:D$105,2,0)=0,$E$3,VLOOKUP(E184,'HOURLY RATES'!C$6:D$105,2,0))</f>
        <v>60</v>
      </c>
      <c r="N184" s="61">
        <f t="shared" ref="N184" si="253">M184*L184</f>
        <v>10395</v>
      </c>
      <c r="O184" s="64">
        <v>239.0625</v>
      </c>
      <c r="P184" s="64">
        <f t="shared" ref="P184" si="254">O184*I184</f>
        <v>11044.6875</v>
      </c>
      <c r="Q184" s="65">
        <f t="shared" ref="Q184" si="255">P184+N184</f>
        <v>21439.6875</v>
      </c>
      <c r="R184" s="132"/>
      <c r="S184" s="170">
        <f t="shared" ref="S184" si="256">((((N184*(1+$D$7))+(P184*(1+$D$5+$D$6)))*(1+$D$8)))/I184</f>
        <v>584.56720546874988</v>
      </c>
      <c r="T184" s="169">
        <f t="shared" ref="T184" si="257">S184*I184</f>
        <v>27007.004892656245</v>
      </c>
    </row>
    <row r="185" spans="1:20" s="7" customFormat="1" x14ac:dyDescent="0.25">
      <c r="A185" s="131" t="str">
        <f>IF(J185&lt;&gt;"",1+MAX($A$19:A184),"")</f>
        <v/>
      </c>
      <c r="B185" s="53"/>
      <c r="C185" s="53"/>
      <c r="D185" s="106"/>
      <c r="E185" s="183"/>
      <c r="F185" s="179" t="s">
        <v>248</v>
      </c>
      <c r="G185" s="54"/>
      <c r="H185" s="55"/>
      <c r="I185" s="56"/>
      <c r="J185" s="105"/>
      <c r="K185" s="394"/>
      <c r="L185" s="63"/>
      <c r="M185" s="61"/>
      <c r="N185" s="61"/>
      <c r="O185" s="64"/>
      <c r="P185" s="64"/>
      <c r="Q185" s="65"/>
      <c r="R185" s="132"/>
      <c r="S185" s="170"/>
      <c r="T185" s="169"/>
    </row>
    <row r="186" spans="1:20" s="7" customFormat="1" x14ac:dyDescent="0.25">
      <c r="A186" s="131" t="str">
        <f>IF(J186&lt;&gt;"",1+MAX($A$19:A185),"")</f>
        <v/>
      </c>
      <c r="B186" s="53"/>
      <c r="C186" s="66"/>
      <c r="D186" s="106"/>
      <c r="E186" s="183"/>
      <c r="F186" s="176" t="s">
        <v>754</v>
      </c>
      <c r="G186" s="54"/>
      <c r="H186" s="55"/>
      <c r="I186" s="56"/>
      <c r="J186" s="105"/>
      <c r="K186" s="394"/>
      <c r="L186" s="63"/>
      <c r="M186" s="61"/>
      <c r="N186" s="61"/>
      <c r="O186" s="64"/>
      <c r="P186" s="64"/>
      <c r="Q186" s="65"/>
      <c r="R186" s="132"/>
      <c r="S186" s="170"/>
      <c r="T186" s="169"/>
    </row>
    <row r="187" spans="1:20" s="7" customFormat="1" ht="46.8" x14ac:dyDescent="0.25">
      <c r="A187" s="131">
        <f>IF(J187&lt;&gt;"",1+MAX($A$19:A186),"")</f>
        <v>122</v>
      </c>
      <c r="B187" s="53"/>
      <c r="C187" s="53"/>
      <c r="D187" s="106" t="s">
        <v>65</v>
      </c>
      <c r="E187" s="183" t="s">
        <v>107</v>
      </c>
      <c r="F187" s="179" t="s">
        <v>966</v>
      </c>
      <c r="G187" s="54">
        <v>1</v>
      </c>
      <c r="H187" s="55">
        <f>IF(VLOOKUP(J187,'HOURLY RATES'!B$116:C$124,2,0)=0,$J$3,VLOOKUP(J187,'HOURLY RATES'!B$116:C$124,2,0))</f>
        <v>0</v>
      </c>
      <c r="I187" s="56">
        <f t="shared" ref="I187:I190" si="258">(G187*(1+H187))</f>
        <v>1</v>
      </c>
      <c r="J187" s="105" t="s">
        <v>251</v>
      </c>
      <c r="K187" s="394">
        <v>65</v>
      </c>
      <c r="L187" s="63">
        <f t="shared" ref="L187:L190" si="259">K187*I187</f>
        <v>65</v>
      </c>
      <c r="M187" s="61">
        <f>IF(VLOOKUP(E187,'HOURLY RATES'!C$6:D$105,2,0)=0,$E$3,VLOOKUP(E187,'HOURLY RATES'!C$6:D$105,2,0))</f>
        <v>60</v>
      </c>
      <c r="N187" s="61">
        <f t="shared" ref="N187:N190" si="260">M187*L187</f>
        <v>3900</v>
      </c>
      <c r="O187" s="400">
        <v>0</v>
      </c>
      <c r="P187" s="64">
        <f t="shared" ref="P187:P190" si="261">O187*I187</f>
        <v>0</v>
      </c>
      <c r="Q187" s="65">
        <f t="shared" ref="Q187:Q203" si="262">P187+N187</f>
        <v>3900</v>
      </c>
      <c r="R187" s="132"/>
      <c r="S187" s="170">
        <f t="shared" ref="S187:S190" si="263">((((N187*(1+$D$7))+(P187*(1+$D$5+$D$6)))*(1+$D$8)))/I187</f>
        <v>4750.2</v>
      </c>
      <c r="T187" s="169">
        <f t="shared" ref="T187:T190" si="264">S187*I187</f>
        <v>4750.2</v>
      </c>
    </row>
    <row r="188" spans="1:20" s="7" customFormat="1" ht="46.8" x14ac:dyDescent="0.25">
      <c r="A188" s="131">
        <f>IF(J188&lt;&gt;"",1+MAX($A$19:A187),"")</f>
        <v>123</v>
      </c>
      <c r="B188" s="53"/>
      <c r="C188" s="53"/>
      <c r="D188" s="106" t="s">
        <v>65</v>
      </c>
      <c r="E188" s="183" t="s">
        <v>107</v>
      </c>
      <c r="F188" s="179" t="s">
        <v>968</v>
      </c>
      <c r="G188" s="54">
        <v>1</v>
      </c>
      <c r="H188" s="55">
        <f>IF(VLOOKUP(J188,'HOURLY RATES'!B$116:C$124,2,0)=0,$J$3,VLOOKUP(J188,'HOURLY RATES'!B$116:C$124,2,0))</f>
        <v>0</v>
      </c>
      <c r="I188" s="56">
        <f t="shared" ref="I188:I189" si="265">(G188*(1+H188))</f>
        <v>1</v>
      </c>
      <c r="J188" s="105" t="s">
        <v>251</v>
      </c>
      <c r="K188" s="394">
        <v>65</v>
      </c>
      <c r="L188" s="63">
        <f t="shared" ref="L188:L189" si="266">K188*I188</f>
        <v>65</v>
      </c>
      <c r="M188" s="61">
        <f>IF(VLOOKUP(E188,'HOURLY RATES'!C$6:D$105,2,0)=0,$E$3,VLOOKUP(E188,'HOURLY RATES'!C$6:D$105,2,0))</f>
        <v>60</v>
      </c>
      <c r="N188" s="61">
        <f t="shared" ref="N188:N189" si="267">M188*L188</f>
        <v>3900</v>
      </c>
      <c r="O188" s="400">
        <v>0</v>
      </c>
      <c r="P188" s="64">
        <f t="shared" ref="P188:P189" si="268">O188*I188</f>
        <v>0</v>
      </c>
      <c r="Q188" s="65">
        <f t="shared" si="262"/>
        <v>3900</v>
      </c>
      <c r="R188" s="132"/>
      <c r="S188" s="170">
        <f t="shared" ref="S188:S189" si="269">((((N188*(1+$D$7))+(P188*(1+$D$5+$D$6)))*(1+$D$8)))/I188</f>
        <v>4750.2</v>
      </c>
      <c r="T188" s="169">
        <f t="shared" ref="T188:T189" si="270">S188*I188</f>
        <v>4750.2</v>
      </c>
    </row>
    <row r="189" spans="1:20" s="7" customFormat="1" ht="46.8" x14ac:dyDescent="0.25">
      <c r="A189" s="131">
        <f>IF(J189&lt;&gt;"",1+MAX($A$19:A188),"")</f>
        <v>124</v>
      </c>
      <c r="B189" s="53"/>
      <c r="C189" s="53"/>
      <c r="D189" s="106" t="s">
        <v>65</v>
      </c>
      <c r="E189" s="183" t="s">
        <v>107</v>
      </c>
      <c r="F189" s="179" t="s">
        <v>967</v>
      </c>
      <c r="G189" s="54">
        <v>1</v>
      </c>
      <c r="H189" s="55">
        <f>IF(VLOOKUP(J189,'HOURLY RATES'!B$116:C$124,2,0)=0,$J$3,VLOOKUP(J189,'HOURLY RATES'!B$116:C$124,2,0))</f>
        <v>0</v>
      </c>
      <c r="I189" s="56">
        <f t="shared" si="265"/>
        <v>1</v>
      </c>
      <c r="J189" s="105" t="s">
        <v>251</v>
      </c>
      <c r="K189" s="394">
        <v>65</v>
      </c>
      <c r="L189" s="63">
        <f t="shared" si="266"/>
        <v>65</v>
      </c>
      <c r="M189" s="61">
        <f>IF(VLOOKUP(E189,'HOURLY RATES'!C$6:D$105,2,0)=0,$E$3,VLOOKUP(E189,'HOURLY RATES'!C$6:D$105,2,0))</f>
        <v>60</v>
      </c>
      <c r="N189" s="61">
        <f t="shared" si="267"/>
        <v>3900</v>
      </c>
      <c r="O189" s="400">
        <v>0</v>
      </c>
      <c r="P189" s="64">
        <f t="shared" si="268"/>
        <v>0</v>
      </c>
      <c r="Q189" s="65">
        <f t="shared" si="262"/>
        <v>3900</v>
      </c>
      <c r="R189" s="132"/>
      <c r="S189" s="170">
        <f t="shared" si="269"/>
        <v>4750.2</v>
      </c>
      <c r="T189" s="169">
        <f t="shared" si="270"/>
        <v>4750.2</v>
      </c>
    </row>
    <row r="190" spans="1:20" s="7" customFormat="1" x14ac:dyDescent="0.25">
      <c r="A190" s="131">
        <f>IF(J190&lt;&gt;"",1+MAX($A$19:A189),"")</f>
        <v>125</v>
      </c>
      <c r="B190" s="53"/>
      <c r="C190" s="53"/>
      <c r="D190" s="106" t="s">
        <v>65</v>
      </c>
      <c r="E190" s="183" t="s">
        <v>107</v>
      </c>
      <c r="F190" s="179" t="s">
        <v>946</v>
      </c>
      <c r="G190" s="54">
        <v>1</v>
      </c>
      <c r="H190" s="55">
        <f>IF(VLOOKUP(J190,'HOURLY RATES'!B$116:C$124,2,0)=0,$J$3,VLOOKUP(J190,'HOURLY RATES'!B$116:C$124,2,0))</f>
        <v>0</v>
      </c>
      <c r="I190" s="56">
        <f t="shared" si="258"/>
        <v>1</v>
      </c>
      <c r="J190" s="105" t="s">
        <v>251</v>
      </c>
      <c r="K190" s="394">
        <v>10</v>
      </c>
      <c r="L190" s="63">
        <f t="shared" si="259"/>
        <v>10</v>
      </c>
      <c r="M190" s="61">
        <f>IF(VLOOKUP(E190,'HOURLY RATES'!C$6:D$105,2,0)=0,$E$3,VLOOKUP(E190,'HOURLY RATES'!C$6:D$105,2,0))</f>
        <v>60</v>
      </c>
      <c r="N190" s="61">
        <f t="shared" si="260"/>
        <v>600</v>
      </c>
      <c r="O190" s="400">
        <v>0</v>
      </c>
      <c r="P190" s="64">
        <f t="shared" si="261"/>
        <v>0</v>
      </c>
      <c r="Q190" s="65">
        <f t="shared" si="262"/>
        <v>600</v>
      </c>
      <c r="R190" s="132"/>
      <c r="S190" s="170">
        <f t="shared" si="263"/>
        <v>730.8</v>
      </c>
      <c r="T190" s="169">
        <f t="shared" si="264"/>
        <v>730.8</v>
      </c>
    </row>
    <row r="191" spans="1:20" s="7" customFormat="1" x14ac:dyDescent="0.25">
      <c r="A191" s="131">
        <f>IF(J191&lt;&gt;"",1+MAX($A$19:A190),"")</f>
        <v>126</v>
      </c>
      <c r="B191" s="53"/>
      <c r="C191" s="53"/>
      <c r="D191" s="106" t="s">
        <v>65</v>
      </c>
      <c r="E191" s="183" t="s">
        <v>107</v>
      </c>
      <c r="F191" s="179" t="s">
        <v>907</v>
      </c>
      <c r="G191" s="54">
        <v>3</v>
      </c>
      <c r="H191" s="55">
        <f>IF(VLOOKUP(J191,'HOURLY RATES'!B$116:C$124,2,0)=0,$J$3,VLOOKUP(J191,'HOURLY RATES'!B$116:C$124,2,0))</f>
        <v>0</v>
      </c>
      <c r="I191" s="56">
        <f>(G191*(1+H191))</f>
        <v>3</v>
      </c>
      <c r="J191" s="105" t="s">
        <v>251</v>
      </c>
      <c r="K191" s="394">
        <v>52</v>
      </c>
      <c r="L191" s="63">
        <f>K191*I191</f>
        <v>156</v>
      </c>
      <c r="M191" s="61">
        <f>IF(VLOOKUP(E191,'HOURLY RATES'!C$6:D$105,2,0)=0,$E$3,VLOOKUP(E191,'HOURLY RATES'!C$6:D$105,2,0))</f>
        <v>60</v>
      </c>
      <c r="N191" s="61">
        <f>M191*L191</f>
        <v>9360</v>
      </c>
      <c r="O191" s="400">
        <v>0</v>
      </c>
      <c r="P191" s="64">
        <f>O191*I191</f>
        <v>0</v>
      </c>
      <c r="Q191" s="65">
        <f t="shared" si="262"/>
        <v>9360</v>
      </c>
      <c r="R191" s="132"/>
      <c r="S191" s="170">
        <f>((((N191*(1+$D$7))+(P191*(1+$D$5+$D$6)))*(1+$D$8)))/I191</f>
        <v>3800.16</v>
      </c>
      <c r="T191" s="169">
        <f>S191*I191</f>
        <v>11400.48</v>
      </c>
    </row>
    <row r="192" spans="1:20" s="7" customFormat="1" x14ac:dyDescent="0.25">
      <c r="A192" s="131">
        <f>IF(J192&lt;&gt;"",1+MAX($A$19:A191),"")</f>
        <v>127</v>
      </c>
      <c r="B192" s="53"/>
      <c r="C192" s="53"/>
      <c r="D192" s="106" t="s">
        <v>65</v>
      </c>
      <c r="E192" s="183" t="s">
        <v>107</v>
      </c>
      <c r="F192" s="179" t="s">
        <v>909</v>
      </c>
      <c r="G192" s="54">
        <v>1</v>
      </c>
      <c r="H192" s="55">
        <f>IF(VLOOKUP(J192,'HOURLY RATES'!B$116:C$124,2,0)=0,$J$3,VLOOKUP(J192,'HOURLY RATES'!B$116:C$124,2,0))</f>
        <v>0</v>
      </c>
      <c r="I192" s="56">
        <f>(G192*(1+H192))</f>
        <v>1</v>
      </c>
      <c r="J192" s="105" t="s">
        <v>251</v>
      </c>
      <c r="K192" s="394">
        <v>6</v>
      </c>
      <c r="L192" s="63">
        <f>K192*I192</f>
        <v>6</v>
      </c>
      <c r="M192" s="61">
        <f>IF(VLOOKUP(E192,'HOURLY RATES'!C$6:D$105,2,0)=0,$E$3,VLOOKUP(E192,'HOURLY RATES'!C$6:D$105,2,0))</f>
        <v>60</v>
      </c>
      <c r="N192" s="61">
        <f>M192*L192</f>
        <v>360</v>
      </c>
      <c r="O192" s="400">
        <v>0</v>
      </c>
      <c r="P192" s="64">
        <f>O192*I192</f>
        <v>0</v>
      </c>
      <c r="Q192" s="65">
        <f t="shared" si="262"/>
        <v>360</v>
      </c>
      <c r="R192" s="132"/>
      <c r="S192" s="170">
        <f>((((N192*(1+$D$7))+(P192*(1+$D$5+$D$6)))*(1+$D$8)))/I192</f>
        <v>438.47999999999996</v>
      </c>
      <c r="T192" s="169">
        <f>S192*I192</f>
        <v>438.47999999999996</v>
      </c>
    </row>
    <row r="193" spans="1:20" s="7" customFormat="1" x14ac:dyDescent="0.25">
      <c r="A193" s="131">
        <f>IF(J193&lt;&gt;"",1+MAX($A$19:A192),"")</f>
        <v>128</v>
      </c>
      <c r="B193" s="53"/>
      <c r="C193" s="53"/>
      <c r="D193" s="106" t="s">
        <v>65</v>
      </c>
      <c r="E193" s="183" t="s">
        <v>107</v>
      </c>
      <c r="F193" s="179" t="s">
        <v>908</v>
      </c>
      <c r="G193" s="54">
        <v>20</v>
      </c>
      <c r="H193" s="55">
        <f>IF(VLOOKUP(J193,'HOURLY RATES'!B$116:C$124,2,0)=0,$J$3,VLOOKUP(J193,'HOURLY RATES'!B$116:C$124,2,0))</f>
        <v>0</v>
      </c>
      <c r="I193" s="56">
        <f t="shared" ref="I193" si="271">(G193*(1+H193))</f>
        <v>20</v>
      </c>
      <c r="J193" s="105" t="s">
        <v>251</v>
      </c>
      <c r="K193" s="394">
        <v>6</v>
      </c>
      <c r="L193" s="63">
        <f t="shared" ref="L193" si="272">K193*I193</f>
        <v>120</v>
      </c>
      <c r="M193" s="61">
        <f>IF(VLOOKUP(E193,'HOURLY RATES'!C$6:D$105,2,0)=0,$E$3,VLOOKUP(E193,'HOURLY RATES'!C$6:D$105,2,0))</f>
        <v>60</v>
      </c>
      <c r="N193" s="61">
        <f t="shared" ref="N193" si="273">M193*L193</f>
        <v>7200</v>
      </c>
      <c r="O193" s="400">
        <v>0</v>
      </c>
      <c r="P193" s="64">
        <f t="shared" ref="P193" si="274">O193*I193</f>
        <v>0</v>
      </c>
      <c r="Q193" s="65">
        <f t="shared" si="262"/>
        <v>7200</v>
      </c>
      <c r="R193" s="132"/>
      <c r="S193" s="170">
        <f t="shared" ref="S193" si="275">((((N193*(1+$D$7))+(P193*(1+$D$5+$D$6)))*(1+$D$8)))/I193</f>
        <v>438.4799999999999</v>
      </c>
      <c r="T193" s="169">
        <f t="shared" ref="T193" si="276">S193*I193</f>
        <v>8769.5999999999985</v>
      </c>
    </row>
    <row r="194" spans="1:20" s="7" customFormat="1" x14ac:dyDescent="0.25">
      <c r="A194" s="131">
        <f>IF(J194&lt;&gt;"",1+MAX($A$19:A193),"")</f>
        <v>129</v>
      </c>
      <c r="B194" s="53"/>
      <c r="C194" s="53"/>
      <c r="D194" s="106" t="s">
        <v>65</v>
      </c>
      <c r="E194" s="183" t="s">
        <v>107</v>
      </c>
      <c r="F194" s="179" t="s">
        <v>914</v>
      </c>
      <c r="G194" s="54">
        <v>8</v>
      </c>
      <c r="H194" s="55">
        <f>IF(VLOOKUP(J194,'HOURLY RATES'!B$116:C$124,2,0)=0,$J$3,VLOOKUP(J194,'HOURLY RATES'!B$116:C$124,2,0))</f>
        <v>0</v>
      </c>
      <c r="I194" s="56">
        <f t="shared" ref="I194:I195" si="277">(G194*(1+H194))</f>
        <v>8</v>
      </c>
      <c r="J194" s="105" t="s">
        <v>251</v>
      </c>
      <c r="K194" s="394">
        <v>4</v>
      </c>
      <c r="L194" s="63">
        <f t="shared" ref="L194:L195" si="278">K194*I194</f>
        <v>32</v>
      </c>
      <c r="M194" s="61">
        <f>IF(VLOOKUP(E194,'HOURLY RATES'!C$6:D$105,2,0)=0,$E$3,VLOOKUP(E194,'HOURLY RATES'!C$6:D$105,2,0))</f>
        <v>60</v>
      </c>
      <c r="N194" s="61">
        <f t="shared" ref="N194:N195" si="279">M194*L194</f>
        <v>1920</v>
      </c>
      <c r="O194" s="400">
        <v>0</v>
      </c>
      <c r="P194" s="64">
        <f t="shared" ref="P194:P195" si="280">O194*I194</f>
        <v>0</v>
      </c>
      <c r="Q194" s="65">
        <f t="shared" si="262"/>
        <v>1920</v>
      </c>
      <c r="R194" s="132"/>
      <c r="S194" s="170">
        <f t="shared" ref="S194:S195" si="281">((((N194*(1+$D$7))+(P194*(1+$D$5+$D$6)))*(1+$D$8)))/I194</f>
        <v>292.32</v>
      </c>
      <c r="T194" s="169">
        <f t="shared" ref="T194:T195" si="282">S194*I194</f>
        <v>2338.56</v>
      </c>
    </row>
    <row r="195" spans="1:20" s="7" customFormat="1" x14ac:dyDescent="0.25">
      <c r="A195" s="131">
        <f>IF(J195&lt;&gt;"",1+MAX($A$19:A194),"")</f>
        <v>130</v>
      </c>
      <c r="B195" s="53"/>
      <c r="C195" s="53"/>
      <c r="D195" s="106" t="s">
        <v>65</v>
      </c>
      <c r="E195" s="183" t="s">
        <v>107</v>
      </c>
      <c r="F195" s="179" t="s">
        <v>767</v>
      </c>
      <c r="G195" s="54">
        <v>1</v>
      </c>
      <c r="H195" s="55">
        <f>IF(VLOOKUP(J195,'HOURLY RATES'!B$116:C$124,2,0)=0,$J$3,VLOOKUP(J195,'HOURLY RATES'!B$116:C$124,2,0))</f>
        <v>0</v>
      </c>
      <c r="I195" s="56">
        <f t="shared" si="277"/>
        <v>1</v>
      </c>
      <c r="J195" s="105" t="s">
        <v>251</v>
      </c>
      <c r="K195" s="394">
        <v>4</v>
      </c>
      <c r="L195" s="63">
        <f t="shared" si="278"/>
        <v>4</v>
      </c>
      <c r="M195" s="61">
        <f>IF(VLOOKUP(E195,'HOURLY RATES'!C$6:D$105,2,0)=0,$E$3,VLOOKUP(E195,'HOURLY RATES'!C$6:D$105,2,0))</f>
        <v>60</v>
      </c>
      <c r="N195" s="61">
        <f t="shared" si="279"/>
        <v>240</v>
      </c>
      <c r="O195" s="400">
        <v>0</v>
      </c>
      <c r="P195" s="64">
        <f t="shared" si="280"/>
        <v>0</v>
      </c>
      <c r="Q195" s="65">
        <f t="shared" si="262"/>
        <v>240</v>
      </c>
      <c r="R195" s="132"/>
      <c r="S195" s="170">
        <f t="shared" si="281"/>
        <v>292.32</v>
      </c>
      <c r="T195" s="169">
        <f t="shared" si="282"/>
        <v>292.32</v>
      </c>
    </row>
    <row r="196" spans="1:20" s="7" customFormat="1" x14ac:dyDescent="0.25">
      <c r="A196" s="131">
        <f>IF(J196&lt;&gt;"",1+MAX($A$19:A195),"")</f>
        <v>131</v>
      </c>
      <c r="B196" s="53"/>
      <c r="C196" s="53"/>
      <c r="D196" s="106" t="s">
        <v>65</v>
      </c>
      <c r="E196" s="183" t="s">
        <v>107</v>
      </c>
      <c r="F196" s="179" t="s">
        <v>910</v>
      </c>
      <c r="G196" s="54">
        <v>1</v>
      </c>
      <c r="H196" s="55">
        <f>IF(VLOOKUP(J196,'HOURLY RATES'!B$116:C$124,2,0)=0,$J$3,VLOOKUP(J196,'HOURLY RATES'!B$116:C$124,2,0))</f>
        <v>0</v>
      </c>
      <c r="I196" s="56">
        <f>(G196*(1+H196))</f>
        <v>1</v>
      </c>
      <c r="J196" s="105" t="s">
        <v>251</v>
      </c>
      <c r="K196" s="394">
        <v>4</v>
      </c>
      <c r="L196" s="63">
        <f>K196*I196</f>
        <v>4</v>
      </c>
      <c r="M196" s="61">
        <f>IF(VLOOKUP(E196,'HOURLY RATES'!C$6:D$105,2,0)=0,$E$3,VLOOKUP(E196,'HOURLY RATES'!C$6:D$105,2,0))</f>
        <v>60</v>
      </c>
      <c r="N196" s="61">
        <f>M196*L196</f>
        <v>240</v>
      </c>
      <c r="O196" s="400">
        <v>0</v>
      </c>
      <c r="P196" s="64">
        <f>O196*I196</f>
        <v>0</v>
      </c>
      <c r="Q196" s="65">
        <f t="shared" si="262"/>
        <v>240</v>
      </c>
      <c r="R196" s="132"/>
      <c r="S196" s="170">
        <f>((((N196*(1+$D$7))+(P196*(1+$D$5+$D$6)))*(1+$D$8)))/I196</f>
        <v>292.32</v>
      </c>
      <c r="T196" s="169">
        <f>S196*I196</f>
        <v>292.32</v>
      </c>
    </row>
    <row r="197" spans="1:20" s="7" customFormat="1" x14ac:dyDescent="0.25">
      <c r="A197" s="131">
        <f>IF(J197&lt;&gt;"",1+MAX($A$19:A196),"")</f>
        <v>132</v>
      </c>
      <c r="B197" s="53"/>
      <c r="C197" s="53"/>
      <c r="D197" s="106" t="s">
        <v>65</v>
      </c>
      <c r="E197" s="183" t="s">
        <v>107</v>
      </c>
      <c r="F197" s="179" t="s">
        <v>911</v>
      </c>
      <c r="G197" s="54">
        <v>1</v>
      </c>
      <c r="H197" s="55">
        <f>IF(VLOOKUP(J197,'HOURLY RATES'!B$116:C$124,2,0)=0,$J$3,VLOOKUP(J197,'HOURLY RATES'!B$116:C$124,2,0))</f>
        <v>0</v>
      </c>
      <c r="I197" s="56">
        <f>(G197*(1+H197))</f>
        <v>1</v>
      </c>
      <c r="J197" s="105" t="s">
        <v>251</v>
      </c>
      <c r="K197" s="394">
        <v>4</v>
      </c>
      <c r="L197" s="63">
        <f>K197*I197</f>
        <v>4</v>
      </c>
      <c r="M197" s="61">
        <f>IF(VLOOKUP(E197,'HOURLY RATES'!C$6:D$105,2,0)=0,$E$3,VLOOKUP(E197,'HOURLY RATES'!C$6:D$105,2,0))</f>
        <v>60</v>
      </c>
      <c r="N197" s="61">
        <f>M197*L197</f>
        <v>240</v>
      </c>
      <c r="O197" s="400">
        <v>0</v>
      </c>
      <c r="P197" s="64">
        <f>O197*I197</f>
        <v>0</v>
      </c>
      <c r="Q197" s="65">
        <f t="shared" si="262"/>
        <v>240</v>
      </c>
      <c r="R197" s="132"/>
      <c r="S197" s="170">
        <f>((((N197*(1+$D$7))+(P197*(1+$D$5+$D$6)))*(1+$D$8)))/I197</f>
        <v>292.32</v>
      </c>
      <c r="T197" s="169">
        <f>S197*I197</f>
        <v>292.32</v>
      </c>
    </row>
    <row r="198" spans="1:20" s="7" customFormat="1" x14ac:dyDescent="0.25">
      <c r="A198" s="131">
        <f>IF(J198&lt;&gt;"",1+MAX($A$19:A197),"")</f>
        <v>133</v>
      </c>
      <c r="B198" s="53"/>
      <c r="C198" s="53"/>
      <c r="D198" s="106" t="s">
        <v>65</v>
      </c>
      <c r="E198" s="183" t="s">
        <v>107</v>
      </c>
      <c r="F198" s="179" t="s">
        <v>912</v>
      </c>
      <c r="G198" s="54">
        <v>2</v>
      </c>
      <c r="H198" s="55">
        <f>IF(VLOOKUP(J198,'HOURLY RATES'!B$116:C$124,2,0)=0,$J$3,VLOOKUP(J198,'HOURLY RATES'!B$116:C$124,2,0))</f>
        <v>0</v>
      </c>
      <c r="I198" s="56">
        <f>(G198*(1+H198))</f>
        <v>2</v>
      </c>
      <c r="J198" s="105" t="s">
        <v>251</v>
      </c>
      <c r="K198" s="394">
        <v>4</v>
      </c>
      <c r="L198" s="63">
        <f>K198*I198</f>
        <v>8</v>
      </c>
      <c r="M198" s="61">
        <f>IF(VLOOKUP(E198,'HOURLY RATES'!C$6:D$105,2,0)=0,$E$3,VLOOKUP(E198,'HOURLY RATES'!C$6:D$105,2,0))</f>
        <v>60</v>
      </c>
      <c r="N198" s="61">
        <f>M198*L198</f>
        <v>480</v>
      </c>
      <c r="O198" s="400">
        <v>0</v>
      </c>
      <c r="P198" s="64">
        <f>O198*I198</f>
        <v>0</v>
      </c>
      <c r="Q198" s="65">
        <f t="shared" si="262"/>
        <v>480</v>
      </c>
      <c r="R198" s="132"/>
      <c r="S198" s="170">
        <f>((((N198*(1+$D$7))+(P198*(1+$D$5+$D$6)))*(1+$D$8)))/I198</f>
        <v>292.32</v>
      </c>
      <c r="T198" s="169">
        <f>S198*I198</f>
        <v>584.64</v>
      </c>
    </row>
    <row r="199" spans="1:20" s="7" customFormat="1" x14ac:dyDescent="0.25">
      <c r="A199" s="131">
        <f>IF(J199&lt;&gt;"",1+MAX($A$19:A198),"")</f>
        <v>134</v>
      </c>
      <c r="B199" s="53"/>
      <c r="C199" s="53"/>
      <c r="D199" s="106" t="s">
        <v>65</v>
      </c>
      <c r="E199" s="183" t="s">
        <v>107</v>
      </c>
      <c r="F199" s="179" t="s">
        <v>752</v>
      </c>
      <c r="G199" s="54">
        <v>3</v>
      </c>
      <c r="H199" s="55">
        <f>IF(VLOOKUP(J199,'HOURLY RATES'!B$116:C$124,2,0)=0,$J$3,VLOOKUP(J199,'HOURLY RATES'!B$116:C$124,2,0))</f>
        <v>0</v>
      </c>
      <c r="I199" s="56">
        <f t="shared" ref="I199" si="283">(G199*(1+H199))</f>
        <v>3</v>
      </c>
      <c r="J199" s="105" t="s">
        <v>251</v>
      </c>
      <c r="K199" s="394">
        <v>2.85</v>
      </c>
      <c r="L199" s="63">
        <f t="shared" ref="L199" si="284">K199*I199</f>
        <v>8.5500000000000007</v>
      </c>
      <c r="M199" s="61">
        <f>IF(VLOOKUP(E199,'HOURLY RATES'!C$6:D$105,2,0)=0,$E$3,VLOOKUP(E199,'HOURLY RATES'!C$6:D$105,2,0))</f>
        <v>60</v>
      </c>
      <c r="N199" s="61">
        <f t="shared" ref="N199" si="285">M199*L199</f>
        <v>513</v>
      </c>
      <c r="O199" s="400">
        <v>0</v>
      </c>
      <c r="P199" s="64">
        <f t="shared" ref="P199" si="286">O199*I199</f>
        <v>0</v>
      </c>
      <c r="Q199" s="65">
        <f t="shared" si="262"/>
        <v>513</v>
      </c>
      <c r="R199" s="132"/>
      <c r="S199" s="170">
        <f t="shared" ref="S199" si="287">((((N199*(1+$D$7))+(P199*(1+$D$5+$D$6)))*(1+$D$8)))/I199</f>
        <v>208.27799999999999</v>
      </c>
      <c r="T199" s="169">
        <f t="shared" ref="T199" si="288">S199*I199</f>
        <v>624.83399999999995</v>
      </c>
    </row>
    <row r="200" spans="1:20" s="7" customFormat="1" x14ac:dyDescent="0.25">
      <c r="A200" s="131">
        <f>IF(J200&lt;&gt;"",1+MAX($A$19:A199),"")</f>
        <v>135</v>
      </c>
      <c r="B200" s="53"/>
      <c r="C200" s="53"/>
      <c r="D200" s="106" t="s">
        <v>65</v>
      </c>
      <c r="E200" s="183" t="s">
        <v>107</v>
      </c>
      <c r="F200" s="179" t="s">
        <v>913</v>
      </c>
      <c r="G200" s="54">
        <v>1</v>
      </c>
      <c r="H200" s="55">
        <f>IF(VLOOKUP(J200,'HOURLY RATES'!B$116:C$124,2,0)=0,$J$3,VLOOKUP(J200,'HOURLY RATES'!B$116:C$124,2,0))</f>
        <v>0</v>
      </c>
      <c r="I200" s="56">
        <f t="shared" ref="I200:I201" si="289">(G200*(1+H200))</f>
        <v>1</v>
      </c>
      <c r="J200" s="105" t="s">
        <v>251</v>
      </c>
      <c r="K200" s="394">
        <v>2.85</v>
      </c>
      <c r="L200" s="63">
        <f t="shared" ref="L200:L201" si="290">K200*I200</f>
        <v>2.85</v>
      </c>
      <c r="M200" s="61">
        <f>IF(VLOOKUP(E200,'HOURLY RATES'!C$6:D$105,2,0)=0,$E$3,VLOOKUP(E200,'HOURLY RATES'!C$6:D$105,2,0))</f>
        <v>60</v>
      </c>
      <c r="N200" s="61">
        <f t="shared" ref="N200:N201" si="291">M200*L200</f>
        <v>171</v>
      </c>
      <c r="O200" s="400">
        <v>0</v>
      </c>
      <c r="P200" s="64">
        <f t="shared" ref="P200:P201" si="292">O200*I200</f>
        <v>0</v>
      </c>
      <c r="Q200" s="65">
        <f t="shared" si="262"/>
        <v>171</v>
      </c>
      <c r="R200" s="132"/>
      <c r="S200" s="170">
        <f t="shared" ref="S200:S201" si="293">((((N200*(1+$D$7))+(P200*(1+$D$5+$D$6)))*(1+$D$8)))/I200</f>
        <v>208.27799999999996</v>
      </c>
      <c r="T200" s="169">
        <f t="shared" ref="T200:T201" si="294">S200*I200</f>
        <v>208.27799999999996</v>
      </c>
    </row>
    <row r="201" spans="1:20" s="7" customFormat="1" x14ac:dyDescent="0.25">
      <c r="A201" s="131">
        <f>IF(J201&lt;&gt;"",1+MAX($A$19:A200),"")</f>
        <v>136</v>
      </c>
      <c r="B201" s="53"/>
      <c r="C201" s="53"/>
      <c r="D201" s="106" t="s">
        <v>65</v>
      </c>
      <c r="E201" s="183" t="s">
        <v>107</v>
      </c>
      <c r="F201" s="179" t="s">
        <v>753</v>
      </c>
      <c r="G201" s="54">
        <v>3</v>
      </c>
      <c r="H201" s="55">
        <f>IF(VLOOKUP(J201,'HOURLY RATES'!B$116:C$124,2,0)=0,$J$3,VLOOKUP(J201,'HOURLY RATES'!B$116:C$124,2,0))</f>
        <v>0</v>
      </c>
      <c r="I201" s="56">
        <f t="shared" si="289"/>
        <v>3</v>
      </c>
      <c r="J201" s="105" t="s">
        <v>251</v>
      </c>
      <c r="K201" s="394">
        <v>0.25</v>
      </c>
      <c r="L201" s="63">
        <f t="shared" si="290"/>
        <v>0.75</v>
      </c>
      <c r="M201" s="61">
        <f>IF(VLOOKUP(E201,'HOURLY RATES'!C$6:D$105,2,0)=0,$E$3,VLOOKUP(E201,'HOURLY RATES'!C$6:D$105,2,0))</f>
        <v>60</v>
      </c>
      <c r="N201" s="61">
        <f t="shared" si="291"/>
        <v>45</v>
      </c>
      <c r="O201" s="400">
        <v>0</v>
      </c>
      <c r="P201" s="64">
        <f t="shared" si="292"/>
        <v>0</v>
      </c>
      <c r="Q201" s="65">
        <f t="shared" si="262"/>
        <v>45</v>
      </c>
      <c r="R201" s="132"/>
      <c r="S201" s="170">
        <f t="shared" si="293"/>
        <v>18.27</v>
      </c>
      <c r="T201" s="169">
        <f t="shared" si="294"/>
        <v>54.81</v>
      </c>
    </row>
    <row r="202" spans="1:20" s="7" customFormat="1" x14ac:dyDescent="0.25">
      <c r="A202" s="131">
        <f>IF(J202&lt;&gt;"",1+MAX($A$19:A201),"")</f>
        <v>137</v>
      </c>
      <c r="B202" s="53"/>
      <c r="C202" s="53"/>
      <c r="D202" s="106" t="s">
        <v>65</v>
      </c>
      <c r="E202" s="183" t="s">
        <v>107</v>
      </c>
      <c r="F202" s="179" t="s">
        <v>947</v>
      </c>
      <c r="G202" s="54">
        <v>3</v>
      </c>
      <c r="H202" s="55">
        <f>IF(VLOOKUP(J202,'HOURLY RATES'!B$116:C$124,2,0)=0,$J$3,VLOOKUP(J202,'HOURLY RATES'!B$116:C$124,2,0))</f>
        <v>0</v>
      </c>
      <c r="I202" s="56">
        <f>(G202*(1+H202))</f>
        <v>3</v>
      </c>
      <c r="J202" s="105" t="s">
        <v>251</v>
      </c>
      <c r="K202" s="394">
        <v>2.56</v>
      </c>
      <c r="L202" s="63">
        <f>K202*I202</f>
        <v>7.68</v>
      </c>
      <c r="M202" s="61">
        <f>IF(VLOOKUP(E202,'HOURLY RATES'!C$6:D$105,2,0)=0,$E$3,VLOOKUP(E202,'HOURLY RATES'!C$6:D$105,2,0))</f>
        <v>60</v>
      </c>
      <c r="N202" s="61">
        <f>M202*L202</f>
        <v>460.79999999999995</v>
      </c>
      <c r="O202" s="400">
        <v>0</v>
      </c>
      <c r="P202" s="64">
        <f>O202*I202</f>
        <v>0</v>
      </c>
      <c r="Q202" s="65">
        <f t="shared" si="262"/>
        <v>460.79999999999995</v>
      </c>
      <c r="R202" s="132"/>
      <c r="S202" s="170">
        <f>((((N202*(1+$D$7))+(P202*(1+$D$5+$D$6)))*(1+$D$8)))/I202</f>
        <v>187.08479999999997</v>
      </c>
      <c r="T202" s="169">
        <f>S202*I202</f>
        <v>561.25439999999992</v>
      </c>
    </row>
    <row r="203" spans="1:20" s="7" customFormat="1" x14ac:dyDescent="0.25">
      <c r="A203" s="131">
        <f>IF(J203&lt;&gt;"",1+MAX($A$19:A202),"")</f>
        <v>138</v>
      </c>
      <c r="B203" s="53"/>
      <c r="C203" s="53"/>
      <c r="D203" s="106" t="s">
        <v>65</v>
      </c>
      <c r="E203" s="183" t="s">
        <v>107</v>
      </c>
      <c r="F203" s="179" t="s">
        <v>796</v>
      </c>
      <c r="G203" s="54">
        <v>3</v>
      </c>
      <c r="H203" s="55">
        <f>IF(VLOOKUP(J203,'HOURLY RATES'!B$116:C$124,2,0)=0,$J$3,VLOOKUP(J203,'HOURLY RATES'!B$116:C$124,2,0))</f>
        <v>0</v>
      </c>
      <c r="I203" s="56">
        <f>(G203*(1+H203))</f>
        <v>3</v>
      </c>
      <c r="J203" s="105" t="s">
        <v>251</v>
      </c>
      <c r="K203" s="394">
        <v>1.85</v>
      </c>
      <c r="L203" s="63">
        <f>K203*I203</f>
        <v>5.5500000000000007</v>
      </c>
      <c r="M203" s="61">
        <f>IF(VLOOKUP(E203,'HOURLY RATES'!C$6:D$105,2,0)=0,$E$3,VLOOKUP(E203,'HOURLY RATES'!C$6:D$105,2,0))</f>
        <v>60</v>
      </c>
      <c r="N203" s="61">
        <f>M203*L203</f>
        <v>333.00000000000006</v>
      </c>
      <c r="O203" s="400">
        <v>0</v>
      </c>
      <c r="P203" s="64">
        <f>O203*I203</f>
        <v>0</v>
      </c>
      <c r="Q203" s="65">
        <f t="shared" si="262"/>
        <v>333.00000000000006</v>
      </c>
      <c r="R203" s="132"/>
      <c r="S203" s="170">
        <f>((((N203*(1+$D$7))+(P203*(1+$D$5+$D$6)))*(1+$D$8)))/I203</f>
        <v>135.19800000000001</v>
      </c>
      <c r="T203" s="169">
        <f>S203*I203</f>
        <v>405.59400000000005</v>
      </c>
    </row>
    <row r="204" spans="1:20" s="7" customFormat="1" x14ac:dyDescent="0.25">
      <c r="A204" s="131" t="str">
        <f>IF(J204&lt;&gt;"",1+MAX($A$19:A203),"")</f>
        <v/>
      </c>
      <c r="B204" s="53"/>
      <c r="C204" s="53"/>
      <c r="D204" s="106"/>
      <c r="E204" s="183"/>
      <c r="F204" s="179" t="s">
        <v>248</v>
      </c>
      <c r="G204" s="54"/>
      <c r="H204" s="55"/>
      <c r="I204" s="56"/>
      <c r="J204" s="105"/>
      <c r="K204" s="394"/>
      <c r="L204" s="63"/>
      <c r="M204" s="61"/>
      <c r="N204" s="61"/>
      <c r="O204" s="64"/>
      <c r="P204" s="64"/>
      <c r="Q204" s="65"/>
      <c r="R204" s="132"/>
      <c r="S204" s="170"/>
      <c r="T204" s="169"/>
    </row>
    <row r="205" spans="1:20" s="7" customFormat="1" x14ac:dyDescent="0.25">
      <c r="A205" s="131" t="str">
        <f>IF(J205&lt;&gt;"",1+MAX($A$19:A204),"")</f>
        <v/>
      </c>
      <c r="B205" s="53"/>
      <c r="C205" s="53"/>
      <c r="D205" s="106"/>
      <c r="E205" s="183"/>
      <c r="F205" s="176" t="s">
        <v>776</v>
      </c>
      <c r="G205" s="54"/>
      <c r="H205" s="55"/>
      <c r="I205" s="56"/>
      <c r="J205" s="105"/>
      <c r="K205" s="394"/>
      <c r="L205" s="63"/>
      <c r="M205" s="61"/>
      <c r="N205" s="61"/>
      <c r="O205" s="64"/>
      <c r="P205" s="64"/>
      <c r="Q205" s="65"/>
      <c r="R205" s="132"/>
      <c r="S205" s="170"/>
      <c r="T205" s="169"/>
    </row>
    <row r="206" spans="1:20" s="7" customFormat="1" ht="31.2" x14ac:dyDescent="0.25">
      <c r="A206" s="131">
        <f>IF(J206&lt;&gt;"",1+MAX($A$19:A205),"")</f>
        <v>139</v>
      </c>
      <c r="B206" s="53"/>
      <c r="C206" s="53"/>
      <c r="D206" s="106" t="s">
        <v>65</v>
      </c>
      <c r="E206" s="183" t="s">
        <v>107</v>
      </c>
      <c r="F206" s="179" t="s">
        <v>915</v>
      </c>
      <c r="G206" s="54">
        <v>1</v>
      </c>
      <c r="H206" s="55">
        <f>IF(VLOOKUP(J206,'HOURLY RATES'!B$116:C$124,2,0)=0,$J$3,VLOOKUP(J206,'HOURLY RATES'!B$116:C$124,2,0))</f>
        <v>0</v>
      </c>
      <c r="I206" s="56">
        <f>(G206*(1+H206))</f>
        <v>1</v>
      </c>
      <c r="J206" s="105" t="s">
        <v>251</v>
      </c>
      <c r="K206" s="394">
        <v>128</v>
      </c>
      <c r="L206" s="63">
        <f>K206*I206</f>
        <v>128</v>
      </c>
      <c r="M206" s="61">
        <f>IF(VLOOKUP(E206,'HOURLY RATES'!C$6:D$105,2,0)=0,$E$3,VLOOKUP(E206,'HOURLY RATES'!C$6:D$105,2,0))</f>
        <v>60</v>
      </c>
      <c r="N206" s="61">
        <f>M206*L206</f>
        <v>7680</v>
      </c>
      <c r="O206" s="400">
        <v>0</v>
      </c>
      <c r="P206" s="64">
        <f>O206*I206</f>
        <v>0</v>
      </c>
      <c r="Q206" s="65">
        <f t="shared" ref="Q206:Q209" si="295">P206+N206</f>
        <v>7680</v>
      </c>
      <c r="R206" s="132"/>
      <c r="S206" s="170">
        <f>((((N206*(1+$D$7))+(P206*(1+$D$5+$D$6)))*(1+$D$8)))/I206</f>
        <v>9354.24</v>
      </c>
      <c r="T206" s="169">
        <f>S206*I206</f>
        <v>9354.24</v>
      </c>
    </row>
    <row r="207" spans="1:20" s="7" customFormat="1" ht="31.2" x14ac:dyDescent="0.25">
      <c r="A207" s="131">
        <f>IF(J207&lt;&gt;"",1+MAX($A$19:A206),"")</f>
        <v>140</v>
      </c>
      <c r="B207" s="53"/>
      <c r="C207" s="53"/>
      <c r="D207" s="106" t="s">
        <v>65</v>
      </c>
      <c r="E207" s="183" t="s">
        <v>107</v>
      </c>
      <c r="F207" s="179" t="s">
        <v>916</v>
      </c>
      <c r="G207" s="54">
        <v>1</v>
      </c>
      <c r="H207" s="55">
        <f>IF(VLOOKUP(J207,'HOURLY RATES'!B$116:C$124,2,0)=0,$J$3,VLOOKUP(J207,'HOURLY RATES'!B$116:C$124,2,0))</f>
        <v>0</v>
      </c>
      <c r="I207" s="56">
        <f t="shared" ref="I207" si="296">(G207*(1+H207))</f>
        <v>1</v>
      </c>
      <c r="J207" s="105" t="s">
        <v>251</v>
      </c>
      <c r="K207" s="394">
        <v>128</v>
      </c>
      <c r="L207" s="63">
        <f t="shared" ref="L207" si="297">K207*I207</f>
        <v>128</v>
      </c>
      <c r="M207" s="61">
        <f>IF(VLOOKUP(E207,'HOURLY RATES'!C$6:D$105,2,0)=0,$E$3,VLOOKUP(E207,'HOURLY RATES'!C$6:D$105,2,0))</f>
        <v>60</v>
      </c>
      <c r="N207" s="61">
        <f t="shared" ref="N207" si="298">M207*L207</f>
        <v>7680</v>
      </c>
      <c r="O207" s="400">
        <v>0</v>
      </c>
      <c r="P207" s="64">
        <f t="shared" ref="P207" si="299">O207*I207</f>
        <v>0</v>
      </c>
      <c r="Q207" s="65">
        <f t="shared" si="295"/>
        <v>7680</v>
      </c>
      <c r="R207" s="132"/>
      <c r="S207" s="170">
        <f t="shared" ref="S207" si="300">((((N207*(1+$D$7))+(P207*(1+$D$5+$D$6)))*(1+$D$8)))/I207</f>
        <v>9354.24</v>
      </c>
      <c r="T207" s="169">
        <f t="shared" ref="T207" si="301">S207*I207</f>
        <v>9354.24</v>
      </c>
    </row>
    <row r="208" spans="1:20" s="7" customFormat="1" ht="31.2" x14ac:dyDescent="0.25">
      <c r="A208" s="131">
        <f>IF(J208&lt;&gt;"",1+MAX($A$19:A207),"")</f>
        <v>141</v>
      </c>
      <c r="B208" s="53"/>
      <c r="C208" s="53"/>
      <c r="D208" s="106" t="s">
        <v>65</v>
      </c>
      <c r="E208" s="183" t="s">
        <v>107</v>
      </c>
      <c r="F208" s="179" t="s">
        <v>917</v>
      </c>
      <c r="G208" s="54">
        <v>1</v>
      </c>
      <c r="H208" s="55">
        <f>IF(VLOOKUP(J208,'HOURLY RATES'!B$116:C$124,2,0)=0,$J$3,VLOOKUP(J208,'HOURLY RATES'!B$116:C$124,2,0))</f>
        <v>0</v>
      </c>
      <c r="I208" s="56">
        <f t="shared" ref="I208:I209" si="302">(G208*(1+H208))</f>
        <v>1</v>
      </c>
      <c r="J208" s="105" t="s">
        <v>251</v>
      </c>
      <c r="K208" s="394">
        <v>128</v>
      </c>
      <c r="L208" s="63">
        <f t="shared" ref="L208:L209" si="303">K208*I208</f>
        <v>128</v>
      </c>
      <c r="M208" s="61">
        <f>IF(VLOOKUP(E208,'HOURLY RATES'!C$6:D$105,2,0)=0,$E$3,VLOOKUP(E208,'HOURLY RATES'!C$6:D$105,2,0))</f>
        <v>60</v>
      </c>
      <c r="N208" s="61">
        <f t="shared" ref="N208:N209" si="304">M208*L208</f>
        <v>7680</v>
      </c>
      <c r="O208" s="400">
        <v>0</v>
      </c>
      <c r="P208" s="64">
        <f t="shared" ref="P208:P209" si="305">O208*I208</f>
        <v>0</v>
      </c>
      <c r="Q208" s="65">
        <f t="shared" si="295"/>
        <v>7680</v>
      </c>
      <c r="R208" s="132"/>
      <c r="S208" s="170">
        <f t="shared" ref="S208:S209" si="306">((((N208*(1+$D$7))+(P208*(1+$D$5+$D$6)))*(1+$D$8)))/I208</f>
        <v>9354.24</v>
      </c>
      <c r="T208" s="169">
        <f t="shared" ref="T208:T209" si="307">S208*I208</f>
        <v>9354.24</v>
      </c>
    </row>
    <row r="209" spans="1:20" s="7" customFormat="1" x14ac:dyDescent="0.25">
      <c r="A209" s="131">
        <f>IF(J209&lt;&gt;"",1+MAX($A$19:A208),"")</f>
        <v>142</v>
      </c>
      <c r="B209" s="53"/>
      <c r="C209" s="53"/>
      <c r="D209" s="106" t="s">
        <v>65</v>
      </c>
      <c r="E209" s="183" t="s">
        <v>107</v>
      </c>
      <c r="F209" s="179" t="s">
        <v>918</v>
      </c>
      <c r="G209" s="54">
        <v>1</v>
      </c>
      <c r="H209" s="55">
        <f>IF(VLOOKUP(J209,'HOURLY RATES'!B$116:C$124,2,0)=0,$J$3,VLOOKUP(J209,'HOURLY RATES'!B$116:C$124,2,0))</f>
        <v>0</v>
      </c>
      <c r="I209" s="56">
        <f t="shared" si="302"/>
        <v>1</v>
      </c>
      <c r="J209" s="105" t="s">
        <v>251</v>
      </c>
      <c r="K209" s="394">
        <v>22</v>
      </c>
      <c r="L209" s="63">
        <f t="shared" si="303"/>
        <v>22</v>
      </c>
      <c r="M209" s="61">
        <f>IF(VLOOKUP(E209,'HOURLY RATES'!C$6:D$105,2,0)=0,$E$3,VLOOKUP(E209,'HOURLY RATES'!C$6:D$105,2,0))</f>
        <v>60</v>
      </c>
      <c r="N209" s="61">
        <f t="shared" si="304"/>
        <v>1320</v>
      </c>
      <c r="O209" s="64">
        <v>18690</v>
      </c>
      <c r="P209" s="64">
        <f t="shared" si="305"/>
        <v>18690</v>
      </c>
      <c r="Q209" s="65">
        <f t="shared" si="295"/>
        <v>20010</v>
      </c>
      <c r="R209" s="132"/>
      <c r="S209" s="170">
        <f t="shared" si="306"/>
        <v>25884.116894999996</v>
      </c>
      <c r="T209" s="169">
        <f t="shared" si="307"/>
        <v>25884.116894999996</v>
      </c>
    </row>
    <row r="210" spans="1:20" s="7" customFormat="1" x14ac:dyDescent="0.25">
      <c r="A210" s="131" t="str">
        <f>IF(J210&lt;&gt;"",1+MAX($A$19:A209),"")</f>
        <v/>
      </c>
      <c r="B210" s="53"/>
      <c r="C210" s="66"/>
      <c r="D210" s="106"/>
      <c r="E210" s="183"/>
      <c r="F210" s="179" t="s">
        <v>248</v>
      </c>
      <c r="G210" s="54"/>
      <c r="H210" s="55"/>
      <c r="I210" s="56"/>
      <c r="J210" s="105"/>
      <c r="K210" s="394"/>
      <c r="L210" s="63"/>
      <c r="M210" s="61"/>
      <c r="N210" s="61"/>
      <c r="O210" s="64"/>
      <c r="P210" s="64"/>
      <c r="Q210" s="65"/>
      <c r="R210" s="132"/>
      <c r="S210" s="170"/>
      <c r="T210" s="169"/>
    </row>
    <row r="211" spans="1:20" s="7" customFormat="1" x14ac:dyDescent="0.25">
      <c r="A211" s="131" t="str">
        <f>IF(J211&lt;&gt;"",1+MAX($A$19:A210),"")</f>
        <v/>
      </c>
      <c r="B211" s="53"/>
      <c r="C211" s="66"/>
      <c r="D211" s="106"/>
      <c r="E211" s="183"/>
      <c r="F211" s="176" t="s">
        <v>760</v>
      </c>
      <c r="G211" s="54"/>
      <c r="H211" s="55"/>
      <c r="I211" s="56"/>
      <c r="J211" s="105"/>
      <c r="K211" s="394"/>
      <c r="L211" s="63"/>
      <c r="M211" s="61"/>
      <c r="N211" s="61"/>
      <c r="O211" s="64"/>
      <c r="P211" s="64"/>
      <c r="Q211" s="65"/>
      <c r="R211" s="132"/>
      <c r="S211" s="170"/>
      <c r="T211" s="169"/>
    </row>
    <row r="212" spans="1:20" s="7" customFormat="1" x14ac:dyDescent="0.25">
      <c r="A212" s="131">
        <f>IF(J212&lt;&gt;"",1+MAX($A$19:A211),"")</f>
        <v>143</v>
      </c>
      <c r="B212" s="53"/>
      <c r="C212" s="53"/>
      <c r="D212" s="106" t="s">
        <v>65</v>
      </c>
      <c r="E212" s="183" t="s">
        <v>107</v>
      </c>
      <c r="F212" s="179" t="s">
        <v>922</v>
      </c>
      <c r="G212" s="54">
        <v>3</v>
      </c>
      <c r="H212" s="55">
        <f>IF(VLOOKUP(J212,'HOURLY RATES'!B$116:C$124,2,0)=0,$J$3,VLOOKUP(J212,'HOURLY RATES'!B$116:C$124,2,0))</f>
        <v>0</v>
      </c>
      <c r="I212" s="56">
        <f t="shared" ref="I212:I214" si="308">(G212*(1+H212))</f>
        <v>3</v>
      </c>
      <c r="J212" s="105" t="s">
        <v>251</v>
      </c>
      <c r="K212" s="394">
        <v>0.35</v>
      </c>
      <c r="L212" s="395">
        <f t="shared" ref="L212:L217" si="309">K212*I212</f>
        <v>1.0499999999999998</v>
      </c>
      <c r="M212" s="61">
        <f>IF(VLOOKUP(E212,'HOURLY RATES'!C$6:D$105,2,0)=0,$E$3,VLOOKUP(E212,'HOURLY RATES'!C$6:D$105,2,0))</f>
        <v>60</v>
      </c>
      <c r="N212" s="396">
        <f t="shared" ref="N212:N217" si="310">M212*L212</f>
        <v>62.999999999999986</v>
      </c>
      <c r="O212" s="397">
        <v>42</v>
      </c>
      <c r="P212" s="64">
        <f t="shared" ref="P212:P214" si="311">O212*I212</f>
        <v>126</v>
      </c>
      <c r="Q212" s="65">
        <f t="shared" ref="Q212:Q214" si="312">P212+N212</f>
        <v>189</v>
      </c>
      <c r="R212" s="132"/>
      <c r="S212" s="170">
        <f t="shared" ref="S212:S214" si="313">((((N212*(1+$D$7))+(P212*(1+$D$5+$D$6)))*(1+$D$8)))/I212</f>
        <v>80.131610999999978</v>
      </c>
      <c r="T212" s="169">
        <f t="shared" ref="T212:T214" si="314">S212*I212</f>
        <v>240.39483299999995</v>
      </c>
    </row>
    <row r="213" spans="1:20" s="7" customFormat="1" x14ac:dyDescent="0.25">
      <c r="A213" s="131">
        <f>IF(J213&lt;&gt;"",1+MAX($A$19:A212),"")</f>
        <v>144</v>
      </c>
      <c r="B213" s="53"/>
      <c r="C213" s="53"/>
      <c r="D213" s="106" t="s">
        <v>65</v>
      </c>
      <c r="E213" s="183" t="s">
        <v>107</v>
      </c>
      <c r="F213" s="179" t="s">
        <v>919</v>
      </c>
      <c r="G213" s="54">
        <v>46</v>
      </c>
      <c r="H213" s="55">
        <f>IF(VLOOKUP(J213,'HOURLY RATES'!B$116:C$124,2,0)=0,$J$3,VLOOKUP(J213,'HOURLY RATES'!B$116:C$124,2,0))</f>
        <v>0</v>
      </c>
      <c r="I213" s="56">
        <f t="shared" ref="I213" si="315">(G213*(1+H213))</f>
        <v>46</v>
      </c>
      <c r="J213" s="105" t="s">
        <v>251</v>
      </c>
      <c r="K213" s="394">
        <v>0.36499999999999999</v>
      </c>
      <c r="L213" s="395">
        <f t="shared" si="309"/>
        <v>16.79</v>
      </c>
      <c r="M213" s="61">
        <f>IF(VLOOKUP(E213,'HOURLY RATES'!C$6:D$105,2,0)=0,$E$3,VLOOKUP(E213,'HOURLY RATES'!C$6:D$105,2,0))</f>
        <v>60</v>
      </c>
      <c r="N213" s="396">
        <f t="shared" si="310"/>
        <v>1007.4</v>
      </c>
      <c r="O213" s="397">
        <v>48</v>
      </c>
      <c r="P213" s="64">
        <f t="shared" ref="P213" si="316">O213*I213</f>
        <v>2208</v>
      </c>
      <c r="Q213" s="65">
        <f t="shared" ref="Q213" si="317">P213+N213</f>
        <v>3215.4</v>
      </c>
      <c r="R213" s="132"/>
      <c r="S213" s="170">
        <f t="shared" ref="S213" si="318">((((N213*(1+$D$7))+(P213*(1+$D$5+$D$6)))*(1+$D$8)))/I213</f>
        <v>89.021183999999991</v>
      </c>
      <c r="T213" s="169">
        <f t="shared" ref="T213" si="319">S213*I213</f>
        <v>4094.9744639999994</v>
      </c>
    </row>
    <row r="214" spans="1:20" s="7" customFormat="1" x14ac:dyDescent="0.25">
      <c r="A214" s="131">
        <f>IF(J214&lt;&gt;"",1+MAX($A$19:A213),"")</f>
        <v>145</v>
      </c>
      <c r="B214" s="53"/>
      <c r="C214" s="53"/>
      <c r="D214" s="106" t="s">
        <v>65</v>
      </c>
      <c r="E214" s="183" t="s">
        <v>107</v>
      </c>
      <c r="F214" s="179" t="s">
        <v>769</v>
      </c>
      <c r="G214" s="54">
        <v>49</v>
      </c>
      <c r="H214" s="55">
        <f>IF(VLOOKUP(J214,'HOURLY RATES'!B$116:C$124,2,0)=0,$J$3,VLOOKUP(J214,'HOURLY RATES'!B$116:C$124,2,0))</f>
        <v>0</v>
      </c>
      <c r="I214" s="56">
        <f t="shared" si="308"/>
        <v>49</v>
      </c>
      <c r="J214" s="105" t="s">
        <v>251</v>
      </c>
      <c r="K214" s="394">
        <v>0.45</v>
      </c>
      <c r="L214" s="395">
        <f t="shared" si="309"/>
        <v>22.05</v>
      </c>
      <c r="M214" s="61">
        <f>IF(VLOOKUP(E214,'HOURLY RATES'!C$6:D$105,2,0)=0,$E$3,VLOOKUP(E214,'HOURLY RATES'!C$6:D$105,2,0))</f>
        <v>60</v>
      </c>
      <c r="N214" s="396">
        <f t="shared" si="310"/>
        <v>1323</v>
      </c>
      <c r="O214" s="397">
        <v>55</v>
      </c>
      <c r="P214" s="64">
        <f t="shared" si="311"/>
        <v>2695</v>
      </c>
      <c r="Q214" s="65">
        <f t="shared" si="312"/>
        <v>4018</v>
      </c>
      <c r="R214" s="132"/>
      <c r="S214" s="170">
        <f t="shared" si="313"/>
        <v>104.32525249999999</v>
      </c>
      <c r="T214" s="169">
        <f t="shared" si="314"/>
        <v>5111.9373724999996</v>
      </c>
    </row>
    <row r="215" spans="1:20" s="7" customFormat="1" x14ac:dyDescent="0.25">
      <c r="A215" s="131">
        <f>IF(J215&lt;&gt;"",1+MAX($A$19:A214),"")</f>
        <v>146</v>
      </c>
      <c r="B215" s="53"/>
      <c r="C215" s="53"/>
      <c r="D215" s="106" t="s">
        <v>65</v>
      </c>
      <c r="E215" s="183" t="s">
        <v>107</v>
      </c>
      <c r="F215" s="179" t="s">
        <v>770</v>
      </c>
      <c r="G215" s="54">
        <v>49</v>
      </c>
      <c r="H215" s="55">
        <f>IF(VLOOKUP(J215,'HOURLY RATES'!B$116:C$124,2,0)=0,$J$3,VLOOKUP(J215,'HOURLY RATES'!B$116:C$124,2,0))</f>
        <v>0</v>
      </c>
      <c r="I215" s="56">
        <f t="shared" ref="I215:I218" si="320">(G215*(1+H215))</f>
        <v>49</v>
      </c>
      <c r="J215" s="105" t="s">
        <v>251</v>
      </c>
      <c r="K215" s="394">
        <v>0.45</v>
      </c>
      <c r="L215" s="395">
        <f t="shared" si="309"/>
        <v>22.05</v>
      </c>
      <c r="M215" s="61">
        <f>IF(VLOOKUP(E215,'HOURLY RATES'!C$6:D$105,2,0)=0,$E$3,VLOOKUP(E215,'HOURLY RATES'!C$6:D$105,2,0))</f>
        <v>60</v>
      </c>
      <c r="N215" s="396">
        <f t="shared" si="310"/>
        <v>1323</v>
      </c>
      <c r="O215" s="397">
        <v>55</v>
      </c>
      <c r="P215" s="64">
        <f t="shared" ref="P215:P218" si="321">O215*I215</f>
        <v>2695</v>
      </c>
      <c r="Q215" s="65">
        <f t="shared" ref="Q215:Q218" si="322">P215+N215</f>
        <v>4018</v>
      </c>
      <c r="R215" s="132"/>
      <c r="S215" s="170">
        <f t="shared" ref="S215:S218" si="323">((((N215*(1+$D$7))+(P215*(1+$D$5+$D$6)))*(1+$D$8)))/I215</f>
        <v>104.32525249999999</v>
      </c>
      <c r="T215" s="169">
        <f t="shared" ref="T215:T218" si="324">S215*I215</f>
        <v>5111.9373724999996</v>
      </c>
    </row>
    <row r="216" spans="1:20" s="7" customFormat="1" x14ac:dyDescent="0.25">
      <c r="A216" s="131">
        <f>IF(J216&lt;&gt;"",1+MAX($A$19:A215),"")</f>
        <v>147</v>
      </c>
      <c r="B216" s="53"/>
      <c r="C216" s="53"/>
      <c r="D216" s="106" t="s">
        <v>65</v>
      </c>
      <c r="E216" s="183" t="s">
        <v>107</v>
      </c>
      <c r="F216" s="179" t="s">
        <v>771</v>
      </c>
      <c r="G216" s="54">
        <v>26</v>
      </c>
      <c r="H216" s="55">
        <f>IF(VLOOKUP(J216,'HOURLY RATES'!B$116:C$124,2,0)=0,$J$3,VLOOKUP(J216,'HOURLY RATES'!B$116:C$124,2,0))</f>
        <v>0</v>
      </c>
      <c r="I216" s="56">
        <f t="shared" si="320"/>
        <v>26</v>
      </c>
      <c r="J216" s="105" t="s">
        <v>251</v>
      </c>
      <c r="K216" s="394">
        <v>0.1</v>
      </c>
      <c r="L216" s="395">
        <f t="shared" si="309"/>
        <v>2.6</v>
      </c>
      <c r="M216" s="61">
        <f>IF(VLOOKUP(E216,'HOURLY RATES'!C$6:D$105,2,0)=0,$E$3,VLOOKUP(E216,'HOURLY RATES'!C$6:D$105,2,0))</f>
        <v>60</v>
      </c>
      <c r="N216" s="396">
        <f t="shared" si="310"/>
        <v>156</v>
      </c>
      <c r="O216" s="397">
        <v>6</v>
      </c>
      <c r="P216" s="64">
        <f t="shared" si="321"/>
        <v>156</v>
      </c>
      <c r="Q216" s="65">
        <f t="shared" si="322"/>
        <v>312</v>
      </c>
      <c r="R216" s="132"/>
      <c r="S216" s="170">
        <f t="shared" si="323"/>
        <v>15.101372999999997</v>
      </c>
      <c r="T216" s="169">
        <f t="shared" si="324"/>
        <v>392.63569799999993</v>
      </c>
    </row>
    <row r="217" spans="1:20" s="7" customFormat="1" x14ac:dyDescent="0.25">
      <c r="A217" s="131">
        <f>IF(J217&lt;&gt;"",1+MAX($A$19:A216),"")</f>
        <v>148</v>
      </c>
      <c r="B217" s="53"/>
      <c r="C217" s="53"/>
      <c r="D217" s="106" t="s">
        <v>65</v>
      </c>
      <c r="E217" s="183" t="s">
        <v>107</v>
      </c>
      <c r="F217" s="179" t="s">
        <v>772</v>
      </c>
      <c r="G217" s="54">
        <v>3</v>
      </c>
      <c r="H217" s="55">
        <f>IF(VLOOKUP(J217,'HOURLY RATES'!B$116:C$124,2,0)=0,$J$3,VLOOKUP(J217,'HOURLY RATES'!B$116:C$124,2,0))</f>
        <v>0</v>
      </c>
      <c r="I217" s="56">
        <f t="shared" si="320"/>
        <v>3</v>
      </c>
      <c r="J217" s="105" t="s">
        <v>251</v>
      </c>
      <c r="K217" s="394">
        <v>0.65</v>
      </c>
      <c r="L217" s="395">
        <f t="shared" si="309"/>
        <v>1.9500000000000002</v>
      </c>
      <c r="M217" s="61">
        <f>IF(VLOOKUP(E217,'HOURLY RATES'!C$6:D$105,2,0)=0,$E$3,VLOOKUP(E217,'HOURLY RATES'!C$6:D$105,2,0))</f>
        <v>60</v>
      </c>
      <c r="N217" s="396">
        <f t="shared" si="310"/>
        <v>117.00000000000001</v>
      </c>
      <c r="O217" s="397">
        <v>75</v>
      </c>
      <c r="P217" s="64">
        <f t="shared" si="321"/>
        <v>225</v>
      </c>
      <c r="Q217" s="65">
        <f t="shared" si="322"/>
        <v>342</v>
      </c>
      <c r="R217" s="132"/>
      <c r="S217" s="170">
        <f t="shared" si="323"/>
        <v>144.9191625</v>
      </c>
      <c r="T217" s="169">
        <f t="shared" si="324"/>
        <v>434.75748750000002</v>
      </c>
    </row>
    <row r="218" spans="1:20" s="7" customFormat="1" x14ac:dyDescent="0.25">
      <c r="A218" s="131">
        <f>IF(J218&lt;&gt;"",1+MAX($A$19:A217),"")</f>
        <v>149</v>
      </c>
      <c r="B218" s="53"/>
      <c r="C218" s="53"/>
      <c r="D218" s="106" t="s">
        <v>65</v>
      </c>
      <c r="E218" s="183" t="s">
        <v>107</v>
      </c>
      <c r="F218" s="179" t="s">
        <v>923</v>
      </c>
      <c r="G218" s="54">
        <v>1000</v>
      </c>
      <c r="H218" s="55">
        <f>IF(VLOOKUP(J218,'HOURLY RATES'!B$116:C$124,2,0)=0,$J$3,VLOOKUP(J218,'HOURLY RATES'!B$116:C$124,2,0))</f>
        <v>0.05</v>
      </c>
      <c r="I218" s="56">
        <f t="shared" si="320"/>
        <v>1050</v>
      </c>
      <c r="J218" s="105" t="s">
        <v>250</v>
      </c>
      <c r="K218" s="394">
        <v>0.1</v>
      </c>
      <c r="L218" s="63">
        <f t="shared" ref="L218" si="325">K218*I218</f>
        <v>105</v>
      </c>
      <c r="M218" s="61">
        <f>IF(VLOOKUP(E218,'HOURLY RATES'!C$6:D$105,2,0)=0,$E$3,VLOOKUP(E218,'HOURLY RATES'!C$6:D$105,2,0))</f>
        <v>60</v>
      </c>
      <c r="N218" s="61">
        <f t="shared" ref="N218" si="326">M218*L218</f>
        <v>6300</v>
      </c>
      <c r="O218" s="64">
        <v>5.5</v>
      </c>
      <c r="P218" s="64">
        <f t="shared" si="321"/>
        <v>5775</v>
      </c>
      <c r="Q218" s="65">
        <f t="shared" si="322"/>
        <v>12075</v>
      </c>
      <c r="R218" s="132"/>
      <c r="S218" s="170">
        <f t="shared" si="323"/>
        <v>14.451925249999997</v>
      </c>
      <c r="T218" s="169">
        <f t="shared" si="324"/>
        <v>15174.521512499996</v>
      </c>
    </row>
    <row r="219" spans="1:20" s="7" customFormat="1" x14ac:dyDescent="0.25">
      <c r="A219" s="131">
        <f>IF(J219&lt;&gt;"",1+MAX($A$19:A218),"")</f>
        <v>150</v>
      </c>
      <c r="B219" s="53"/>
      <c r="C219" s="53"/>
      <c r="D219" s="106" t="s">
        <v>65</v>
      </c>
      <c r="E219" s="183" t="s">
        <v>107</v>
      </c>
      <c r="F219" s="179" t="s">
        <v>773</v>
      </c>
      <c r="G219" s="54">
        <v>1040</v>
      </c>
      <c r="H219" s="55">
        <f>IF(VLOOKUP(J219,'HOURLY RATES'!B$116:C$124,2,0)=0,$J$3,VLOOKUP(J219,'HOURLY RATES'!B$116:C$124,2,0))</f>
        <v>0.05</v>
      </c>
      <c r="I219" s="56">
        <f t="shared" ref="I219:I220" si="327">(G219*(1+H219))</f>
        <v>1092</v>
      </c>
      <c r="J219" s="105" t="s">
        <v>250</v>
      </c>
      <c r="K219" s="394">
        <v>1.231E-2</v>
      </c>
      <c r="L219" s="63">
        <f t="shared" ref="L219:L220" si="328">K219*I219</f>
        <v>13.44252</v>
      </c>
      <c r="M219" s="61">
        <f>IF(VLOOKUP(E219,'HOURLY RATES'!C$6:D$105,2,0)=0,$E$3,VLOOKUP(E219,'HOURLY RATES'!C$6:D$105,2,0))</f>
        <v>60</v>
      </c>
      <c r="N219" s="61">
        <f t="shared" ref="N219:N220" si="329">M219*L219</f>
        <v>806.55119999999999</v>
      </c>
      <c r="O219" s="64">
        <v>0.76049999999999995</v>
      </c>
      <c r="P219" s="64">
        <f t="shared" ref="P219:P220" si="330">O219*I219</f>
        <v>830.46599999999989</v>
      </c>
      <c r="Q219" s="65">
        <f t="shared" ref="Q219:Q220" si="331">P219+N219</f>
        <v>1637.0171999999998</v>
      </c>
      <c r="R219" s="132"/>
      <c r="S219" s="170">
        <f t="shared" ref="S219:S220" si="332">((((N219*(1+$D$7))+(P219*(1+$D$5+$D$6)))*(1+$D$8)))/I219</f>
        <v>1.8874248277499996</v>
      </c>
      <c r="T219" s="169">
        <f t="shared" ref="T219:T220" si="333">S219*I219</f>
        <v>2061.0679119029996</v>
      </c>
    </row>
    <row r="220" spans="1:20" s="7" customFormat="1" x14ac:dyDescent="0.25">
      <c r="A220" s="131">
        <f>IF(J220&lt;&gt;"",1+MAX($A$19:A219),"")</f>
        <v>151</v>
      </c>
      <c r="B220" s="53"/>
      <c r="C220" s="53"/>
      <c r="D220" s="106" t="s">
        <v>65</v>
      </c>
      <c r="E220" s="183" t="s">
        <v>107</v>
      </c>
      <c r="F220" s="179" t="s">
        <v>924</v>
      </c>
      <c r="G220" s="54">
        <v>260</v>
      </c>
      <c r="H220" s="55">
        <f>IF(VLOOKUP(J220,'HOURLY RATES'!B$116:C$124,2,0)=0,$J$3,VLOOKUP(J220,'HOURLY RATES'!B$116:C$124,2,0))</f>
        <v>0.05</v>
      </c>
      <c r="I220" s="56">
        <f t="shared" si="327"/>
        <v>273</v>
      </c>
      <c r="J220" s="105" t="s">
        <v>250</v>
      </c>
      <c r="K220" s="394">
        <v>2.4240000000000001E-2</v>
      </c>
      <c r="L220" s="63">
        <f t="shared" si="328"/>
        <v>6.6175200000000007</v>
      </c>
      <c r="M220" s="61">
        <f>IF(VLOOKUP(E220,'HOURLY RATES'!C$6:D$105,2,0)=0,$E$3,VLOOKUP(E220,'HOURLY RATES'!C$6:D$105,2,0))</f>
        <v>60</v>
      </c>
      <c r="N220" s="61">
        <f t="shared" si="329"/>
        <v>397.05120000000005</v>
      </c>
      <c r="O220" s="64">
        <v>2.5756000000000001</v>
      </c>
      <c r="P220" s="64">
        <f t="shared" si="330"/>
        <v>703.13880000000006</v>
      </c>
      <c r="Q220" s="65">
        <f t="shared" si="331"/>
        <v>1100.19</v>
      </c>
      <c r="R220" s="132"/>
      <c r="S220" s="170">
        <f t="shared" si="332"/>
        <v>5.1168944498000002</v>
      </c>
      <c r="T220" s="169">
        <f t="shared" si="333"/>
        <v>1396.9121847954</v>
      </c>
    </row>
    <row r="221" spans="1:20" s="7" customFormat="1" x14ac:dyDescent="0.25">
      <c r="A221" s="131">
        <f>IF(J221&lt;&gt;"",1+MAX($A$19:A220),"")</f>
        <v>152</v>
      </c>
      <c r="B221" s="53"/>
      <c r="C221" s="53"/>
      <c r="D221" s="106" t="s">
        <v>65</v>
      </c>
      <c r="E221" s="183" t="s">
        <v>107</v>
      </c>
      <c r="F221" s="179" t="s">
        <v>774</v>
      </c>
      <c r="G221" s="54">
        <v>520</v>
      </c>
      <c r="H221" s="55">
        <f>IF(VLOOKUP(J221,'HOURLY RATES'!B$116:C$124,2,0)=0,$J$3,VLOOKUP(J221,'HOURLY RATES'!B$116:C$124,2,0))</f>
        <v>0.05</v>
      </c>
      <c r="I221" s="56">
        <f t="shared" ref="I221" si="334">(G221*(1+H221))</f>
        <v>546</v>
      </c>
      <c r="J221" s="105" t="s">
        <v>250</v>
      </c>
      <c r="K221" s="394">
        <v>2.4240000000000001E-2</v>
      </c>
      <c r="L221" s="63">
        <f t="shared" ref="L221" si="335">K221*I221</f>
        <v>13.235040000000001</v>
      </c>
      <c r="M221" s="61">
        <f>IF(VLOOKUP(E221,'HOURLY RATES'!C$6:D$105,2,0)=0,$E$3,VLOOKUP(E221,'HOURLY RATES'!C$6:D$105,2,0))</f>
        <v>60</v>
      </c>
      <c r="N221" s="61">
        <f t="shared" ref="N221" si="336">M221*L221</f>
        <v>794.1024000000001</v>
      </c>
      <c r="O221" s="64">
        <v>2.5756000000000001</v>
      </c>
      <c r="P221" s="64">
        <f t="shared" ref="P221" si="337">O221*I221</f>
        <v>1406.2776000000001</v>
      </c>
      <c r="Q221" s="65">
        <f t="shared" ref="Q221" si="338">P221+N221</f>
        <v>2200.38</v>
      </c>
      <c r="R221" s="132"/>
      <c r="S221" s="170">
        <f t="shared" ref="S221" si="339">((((N221*(1+$D$7))+(P221*(1+$D$5+$D$6)))*(1+$D$8)))/I221</f>
        <v>5.1168944498000002</v>
      </c>
      <c r="T221" s="169">
        <f t="shared" ref="T221" si="340">S221*I221</f>
        <v>2793.8243695908</v>
      </c>
    </row>
    <row r="222" spans="1:20" s="7" customFormat="1" x14ac:dyDescent="0.25">
      <c r="A222" s="131">
        <f>IF(J222&lt;&gt;"",1+MAX($A$19:A221),"")</f>
        <v>153</v>
      </c>
      <c r="B222" s="53"/>
      <c r="C222" s="53"/>
      <c r="D222" s="106" t="s">
        <v>65</v>
      </c>
      <c r="E222" s="183" t="s">
        <v>107</v>
      </c>
      <c r="F222" s="179" t="s">
        <v>925</v>
      </c>
      <c r="G222" s="54">
        <v>3700</v>
      </c>
      <c r="H222" s="55">
        <f>IF(VLOOKUP(J222,'HOURLY RATES'!B$116:C$124,2,0)=0,$J$3,VLOOKUP(J222,'HOURLY RATES'!B$116:C$124,2,0))</f>
        <v>0.05</v>
      </c>
      <c r="I222" s="56">
        <f t="shared" ref="I222" si="341">(G222*(1+H222))</f>
        <v>3885</v>
      </c>
      <c r="J222" s="105" t="s">
        <v>250</v>
      </c>
      <c r="K222" s="394">
        <f>0.01778+0.1</f>
        <v>0.11778000000000001</v>
      </c>
      <c r="L222" s="63">
        <f t="shared" ref="L222" si="342">K222*I222</f>
        <v>457.57530000000003</v>
      </c>
      <c r="M222" s="61">
        <f>IF(VLOOKUP(E222,'HOURLY RATES'!C$6:D$105,2,0)=0,$E$3,VLOOKUP(E222,'HOURLY RATES'!C$6:D$105,2,0))</f>
        <v>60</v>
      </c>
      <c r="N222" s="61">
        <f t="shared" ref="N222" si="343">M222*L222</f>
        <v>27454.518</v>
      </c>
      <c r="O222" s="64">
        <f>4.02+1.6731</f>
        <v>5.6930999999999994</v>
      </c>
      <c r="P222" s="64">
        <f t="shared" ref="P222" si="344">O222*I222</f>
        <v>22117.693499999998</v>
      </c>
      <c r="Q222" s="65">
        <f t="shared" ref="Q222" si="345">P222+N222</f>
        <v>49572.211499999998</v>
      </c>
      <c r="R222" s="132"/>
      <c r="S222" s="170">
        <f t="shared" ref="S222" si="346">((((N222*(1+$D$7))+(P222*(1+$D$5+$D$6)))*(1+$D$8)))/I222</f>
        <v>16.002104371049999</v>
      </c>
      <c r="T222" s="169">
        <f t="shared" ref="T222" si="347">S222*I222</f>
        <v>62168.175481529244</v>
      </c>
    </row>
    <row r="223" spans="1:20" s="7" customFormat="1" x14ac:dyDescent="0.25">
      <c r="A223" s="131" t="str">
        <f>IF(J223&lt;&gt;"",1+MAX($A$19:A222),"")</f>
        <v/>
      </c>
      <c r="B223" s="53"/>
      <c r="C223" s="53"/>
      <c r="D223" s="106"/>
      <c r="E223" s="183"/>
      <c r="F223" s="179" t="s">
        <v>248</v>
      </c>
      <c r="G223" s="54"/>
      <c r="H223" s="55"/>
      <c r="I223" s="56"/>
      <c r="J223" s="105"/>
      <c r="K223" s="394"/>
      <c r="L223" s="63"/>
      <c r="M223" s="61"/>
      <c r="N223" s="61"/>
      <c r="O223" s="64"/>
      <c r="P223" s="64"/>
      <c r="Q223" s="65"/>
      <c r="R223" s="132"/>
      <c r="S223" s="170"/>
      <c r="T223" s="169"/>
    </row>
    <row r="224" spans="1:20" s="7" customFormat="1" x14ac:dyDescent="0.25">
      <c r="A224" s="131" t="str">
        <f>IF(J224&lt;&gt;"",1+MAX($A$19:A223),"")</f>
        <v/>
      </c>
      <c r="B224" s="53"/>
      <c r="C224" s="66"/>
      <c r="D224" s="106"/>
      <c r="E224" s="183"/>
      <c r="F224" s="176" t="s">
        <v>960</v>
      </c>
      <c r="G224" s="54"/>
      <c r="H224" s="55"/>
      <c r="I224" s="56"/>
      <c r="J224" s="105"/>
      <c r="K224" s="394"/>
      <c r="L224" s="63"/>
      <c r="M224" s="61"/>
      <c r="N224" s="61"/>
      <c r="O224" s="64"/>
      <c r="P224" s="64"/>
      <c r="Q224" s="65"/>
      <c r="R224" s="132"/>
      <c r="S224" s="170"/>
      <c r="T224" s="169"/>
    </row>
    <row r="225" spans="1:20" s="7" customFormat="1" x14ac:dyDescent="0.25">
      <c r="A225" s="131">
        <f>IF(J225&lt;&gt;"",1+MAX($A$19:A224),"")</f>
        <v>154</v>
      </c>
      <c r="B225" s="53"/>
      <c r="C225" s="53"/>
      <c r="D225" s="106" t="s">
        <v>65</v>
      </c>
      <c r="E225" s="183" t="s">
        <v>107</v>
      </c>
      <c r="F225" s="179" t="s">
        <v>958</v>
      </c>
      <c r="G225" s="54">
        <v>15</v>
      </c>
      <c r="H225" s="55">
        <f>IF(VLOOKUP(J225,'HOURLY RATES'!B$116:C$124,2,0)=0,$J$3,VLOOKUP(J225,'HOURLY RATES'!B$116:C$124,2,0))</f>
        <v>0</v>
      </c>
      <c r="I225" s="56">
        <f t="shared" ref="I225:I226" si="348">(G225*(1+H225))</f>
        <v>15</v>
      </c>
      <c r="J225" s="105" t="s">
        <v>251</v>
      </c>
      <c r="K225" s="394">
        <v>0.2</v>
      </c>
      <c r="L225" s="63">
        <f t="shared" ref="L225:L226" si="349">K225*I225</f>
        <v>3</v>
      </c>
      <c r="M225" s="61">
        <f>IF(VLOOKUP(E225,'HOURLY RATES'!C$6:D$105,2,0)=0,$E$3,VLOOKUP(E225,'HOURLY RATES'!C$6:D$105,2,0))</f>
        <v>60</v>
      </c>
      <c r="N225" s="61">
        <f t="shared" ref="N225:N226" si="350">M225*L225</f>
        <v>180</v>
      </c>
      <c r="O225" s="64">
        <v>12</v>
      </c>
      <c r="P225" s="64">
        <f t="shared" ref="P225:P226" si="351">O225*I225</f>
        <v>180</v>
      </c>
      <c r="Q225" s="65">
        <f t="shared" ref="Q225:Q226" si="352">P225+N225</f>
        <v>360</v>
      </c>
      <c r="R225" s="132"/>
      <c r="S225" s="170">
        <f t="shared" ref="S225:S226" si="353">((((N225*(1+$D$7))+(P225*(1+$D$5+$D$6)))*(1+$D$8)))/I225</f>
        <v>30.202745999999998</v>
      </c>
      <c r="T225" s="169">
        <f t="shared" ref="T225:T226" si="354">S225*I225</f>
        <v>453.04118999999997</v>
      </c>
    </row>
    <row r="226" spans="1:20" s="7" customFormat="1" x14ac:dyDescent="0.25">
      <c r="A226" s="131">
        <f>IF(J226&lt;&gt;"",1+MAX($A$19:A225),"")</f>
        <v>155</v>
      </c>
      <c r="B226" s="53"/>
      <c r="C226" s="53"/>
      <c r="D226" s="106" t="s">
        <v>65</v>
      </c>
      <c r="E226" s="183" t="s">
        <v>107</v>
      </c>
      <c r="F226" s="179" t="s">
        <v>959</v>
      </c>
      <c r="G226" s="54">
        <v>44</v>
      </c>
      <c r="H226" s="55">
        <f>IF(VLOOKUP(J226,'HOURLY RATES'!B$116:C$124,2,0)=0,$J$3,VLOOKUP(J226,'HOURLY RATES'!B$116:C$124,2,0))</f>
        <v>0</v>
      </c>
      <c r="I226" s="56">
        <f t="shared" si="348"/>
        <v>44</v>
      </c>
      <c r="J226" s="105" t="s">
        <v>251</v>
      </c>
      <c r="K226" s="394">
        <v>0.1</v>
      </c>
      <c r="L226" s="63">
        <f t="shared" si="349"/>
        <v>4.4000000000000004</v>
      </c>
      <c r="M226" s="61">
        <f>IF(VLOOKUP(E226,'HOURLY RATES'!C$6:D$105,2,0)=0,$E$3,VLOOKUP(E226,'HOURLY RATES'!C$6:D$105,2,0))</f>
        <v>60</v>
      </c>
      <c r="N226" s="61">
        <f t="shared" si="350"/>
        <v>264</v>
      </c>
      <c r="O226" s="64">
        <v>5</v>
      </c>
      <c r="P226" s="64">
        <f t="shared" si="351"/>
        <v>220</v>
      </c>
      <c r="Q226" s="65">
        <f t="shared" si="352"/>
        <v>484</v>
      </c>
      <c r="R226" s="132"/>
      <c r="S226" s="170">
        <f t="shared" si="353"/>
        <v>13.802477500000002</v>
      </c>
      <c r="T226" s="169">
        <f t="shared" si="354"/>
        <v>607.30901000000006</v>
      </c>
    </row>
    <row r="227" spans="1:20" s="7" customFormat="1" x14ac:dyDescent="0.25">
      <c r="A227" s="131" t="str">
        <f>IF(J227&lt;&gt;"",1+MAX($A$19:A226),"")</f>
        <v/>
      </c>
      <c r="B227" s="53"/>
      <c r="C227" s="66"/>
      <c r="D227" s="106"/>
      <c r="E227" s="183"/>
      <c r="F227" s="300"/>
      <c r="G227" s="54"/>
      <c r="H227" s="55"/>
      <c r="I227" s="56"/>
      <c r="J227" s="105"/>
      <c r="K227" s="394"/>
      <c r="L227" s="63"/>
      <c r="M227" s="61"/>
      <c r="N227" s="61"/>
      <c r="O227" s="64"/>
      <c r="P227" s="64"/>
      <c r="Q227" s="65"/>
      <c r="R227" s="132"/>
      <c r="S227" s="170"/>
      <c r="T227" s="169"/>
    </row>
    <row r="228" spans="1:20" s="7" customFormat="1" x14ac:dyDescent="0.25">
      <c r="A228" s="131" t="str">
        <f>IF(J228&lt;&gt;"",1+MAX($A$19:A227),"")</f>
        <v/>
      </c>
      <c r="B228" s="53"/>
      <c r="C228" s="66"/>
      <c r="D228" s="106"/>
      <c r="E228" s="183"/>
      <c r="F228" s="176" t="s">
        <v>239</v>
      </c>
      <c r="G228" s="54"/>
      <c r="H228" s="55"/>
      <c r="I228" s="56"/>
      <c r="J228" s="105"/>
      <c r="K228" s="394"/>
      <c r="L228" s="63"/>
      <c r="M228" s="61"/>
      <c r="N228" s="61"/>
      <c r="O228" s="64"/>
      <c r="P228" s="64"/>
      <c r="Q228" s="65"/>
      <c r="R228" s="132"/>
      <c r="S228" s="170"/>
      <c r="T228" s="169"/>
    </row>
    <row r="229" spans="1:20" s="7" customFormat="1" x14ac:dyDescent="0.25">
      <c r="A229" s="131">
        <f>IF(J229&lt;&gt;"",1+MAX($A$19:A228),"")</f>
        <v>156</v>
      </c>
      <c r="B229" s="53"/>
      <c r="C229" s="53"/>
      <c r="D229" s="106" t="s">
        <v>65</v>
      </c>
      <c r="E229" s="183" t="s">
        <v>107</v>
      </c>
      <c r="F229" s="179" t="s">
        <v>764</v>
      </c>
      <c r="G229" s="54">
        <v>36</v>
      </c>
      <c r="H229" s="55">
        <f>IF(VLOOKUP(J229,'HOURLY RATES'!B$116:C$124,2,0)=0,$J$3,VLOOKUP(J229,'HOURLY RATES'!B$116:C$124,2,0))</f>
        <v>0</v>
      </c>
      <c r="I229" s="56">
        <f t="shared" ref="I229:I230" si="355">(G229*(1+H229))</f>
        <v>36</v>
      </c>
      <c r="J229" s="105" t="s">
        <v>251</v>
      </c>
      <c r="K229" s="394">
        <v>0.35</v>
      </c>
      <c r="L229" s="63">
        <f t="shared" ref="L229:L230" si="356">K229*I229</f>
        <v>12.6</v>
      </c>
      <c r="M229" s="61">
        <f>IF(VLOOKUP(E229,'HOURLY RATES'!C$6:D$105,2,0)=0,$E$3,VLOOKUP(E229,'HOURLY RATES'!C$6:D$105,2,0))</f>
        <v>60</v>
      </c>
      <c r="N229" s="61">
        <f t="shared" ref="N229:N230" si="357">M229*L229</f>
        <v>756</v>
      </c>
      <c r="O229" s="64">
        <v>40</v>
      </c>
      <c r="P229" s="64">
        <f t="shared" ref="P229:P230" si="358">O229*I229</f>
        <v>1440</v>
      </c>
      <c r="Q229" s="65">
        <f t="shared" ref="Q229:Q230" si="359">P229+N229</f>
        <v>2196</v>
      </c>
      <c r="R229" s="132"/>
      <c r="S229" s="170">
        <f t="shared" ref="S229:S230" si="360">((((N229*(1+$D$7))+(P229*(1+$D$5+$D$6)))*(1+$D$8)))/I229</f>
        <v>77.533819999999992</v>
      </c>
      <c r="T229" s="169">
        <f t="shared" ref="T229:T230" si="361">S229*I229</f>
        <v>2791.2175199999997</v>
      </c>
    </row>
    <row r="230" spans="1:20" s="7" customFormat="1" ht="93.6" x14ac:dyDescent="0.25">
      <c r="A230" s="131">
        <f>IF(J230&lt;&gt;"",1+MAX($A$19:A229),"")</f>
        <v>157</v>
      </c>
      <c r="B230" s="53"/>
      <c r="C230" s="53"/>
      <c r="D230" s="106" t="s">
        <v>65</v>
      </c>
      <c r="E230" s="183" t="s">
        <v>107</v>
      </c>
      <c r="F230" s="179" t="s">
        <v>932</v>
      </c>
      <c r="G230" s="54">
        <v>4</v>
      </c>
      <c r="H230" s="55">
        <f>IF(VLOOKUP(J230,'HOURLY RATES'!B$116:C$124,2,0)=0,$J$3,VLOOKUP(J230,'HOURLY RATES'!B$116:C$124,2,0))</f>
        <v>0</v>
      </c>
      <c r="I230" s="56">
        <f t="shared" si="355"/>
        <v>4</v>
      </c>
      <c r="J230" s="105" t="s">
        <v>251</v>
      </c>
      <c r="K230" s="394">
        <v>4.0999999999999996</v>
      </c>
      <c r="L230" s="63">
        <f t="shared" si="356"/>
        <v>16.399999999999999</v>
      </c>
      <c r="M230" s="61">
        <f>IF(VLOOKUP(E230,'HOURLY RATES'!C$6:D$105,2,0)=0,$E$3,VLOOKUP(E230,'HOURLY RATES'!C$6:D$105,2,0))</f>
        <v>60</v>
      </c>
      <c r="N230" s="61">
        <f t="shared" si="357"/>
        <v>983.99999999999989</v>
      </c>
      <c r="O230" s="64">
        <v>1100</v>
      </c>
      <c r="P230" s="64">
        <f t="shared" si="358"/>
        <v>4400</v>
      </c>
      <c r="Q230" s="65">
        <f t="shared" si="359"/>
        <v>5384</v>
      </c>
      <c r="R230" s="132"/>
      <c r="S230" s="170">
        <f t="shared" si="360"/>
        <v>1728.4130499999997</v>
      </c>
      <c r="T230" s="169">
        <f t="shared" si="361"/>
        <v>6913.6521999999986</v>
      </c>
    </row>
    <row r="231" spans="1:20" s="7" customFormat="1" ht="93.6" x14ac:dyDescent="0.25">
      <c r="A231" s="131">
        <f>IF(J231&lt;&gt;"",1+MAX($A$19:A230),"")</f>
        <v>158</v>
      </c>
      <c r="B231" s="53"/>
      <c r="C231" s="53"/>
      <c r="D231" s="106" t="s">
        <v>65</v>
      </c>
      <c r="E231" s="183" t="s">
        <v>107</v>
      </c>
      <c r="F231" s="179" t="s">
        <v>935</v>
      </c>
      <c r="G231" s="54">
        <v>3</v>
      </c>
      <c r="H231" s="55">
        <f>IF(VLOOKUP(J231,'HOURLY RATES'!B$116:C$124,2,0)=0,$J$3,VLOOKUP(J231,'HOURLY RATES'!B$116:C$124,2,0))</f>
        <v>0</v>
      </c>
      <c r="I231" s="56">
        <f t="shared" ref="I231:I233" si="362">(G231*(1+H231))</f>
        <v>3</v>
      </c>
      <c r="J231" s="105" t="s">
        <v>251</v>
      </c>
      <c r="K231" s="394">
        <v>4.5599999999999996</v>
      </c>
      <c r="L231" s="63">
        <f t="shared" ref="L231:L233" si="363">K231*I231</f>
        <v>13.68</v>
      </c>
      <c r="M231" s="61">
        <f>IF(VLOOKUP(E231,'HOURLY RATES'!C$6:D$105,2,0)=0,$E$3,VLOOKUP(E231,'HOURLY RATES'!C$6:D$105,2,0))</f>
        <v>60</v>
      </c>
      <c r="N231" s="61">
        <f t="shared" ref="N231:N233" si="364">M231*L231</f>
        <v>820.8</v>
      </c>
      <c r="O231" s="64">
        <v>1850</v>
      </c>
      <c r="P231" s="64">
        <f t="shared" ref="P231:P233" si="365">O231*I231</f>
        <v>5550</v>
      </c>
      <c r="Q231" s="65">
        <f t="shared" ref="Q231:Q233" si="366">P231+N231</f>
        <v>6370.8</v>
      </c>
      <c r="R231" s="132"/>
      <c r="S231" s="170">
        <f t="shared" ref="S231:S233" si="367">((((N231*(1+$D$7))+(P231*(1+$D$5+$D$6)))*(1+$D$8)))/I231</f>
        <v>2736.2014749999994</v>
      </c>
      <c r="T231" s="169">
        <f t="shared" ref="T231:T233" si="368">S231*I231</f>
        <v>8208.6044249999977</v>
      </c>
    </row>
    <row r="232" spans="1:20" s="7" customFormat="1" ht="93.6" x14ac:dyDescent="0.25">
      <c r="A232" s="131">
        <f>IF(J232&lt;&gt;"",1+MAX($A$19:A231),"")</f>
        <v>159</v>
      </c>
      <c r="B232" s="53"/>
      <c r="C232" s="53"/>
      <c r="D232" s="106" t="s">
        <v>65</v>
      </c>
      <c r="E232" s="183" t="s">
        <v>107</v>
      </c>
      <c r="F232" s="179" t="s">
        <v>936</v>
      </c>
      <c r="G232" s="54">
        <v>5</v>
      </c>
      <c r="H232" s="55">
        <f>IF(VLOOKUP(J232,'HOURLY RATES'!B$116:C$124,2,0)=0,$J$3,VLOOKUP(J232,'HOURLY RATES'!B$116:C$124,2,0))</f>
        <v>0</v>
      </c>
      <c r="I232" s="56">
        <f t="shared" ref="I232" si="369">(G232*(1+H232))</f>
        <v>5</v>
      </c>
      <c r="J232" s="105" t="s">
        <v>251</v>
      </c>
      <c r="K232" s="394">
        <v>6</v>
      </c>
      <c r="L232" s="63">
        <f t="shared" ref="L232" si="370">K232*I232</f>
        <v>30</v>
      </c>
      <c r="M232" s="61">
        <f>IF(VLOOKUP(E232,'HOURLY RATES'!C$6:D$105,2,0)=0,$E$3,VLOOKUP(E232,'HOURLY RATES'!C$6:D$105,2,0))</f>
        <v>60</v>
      </c>
      <c r="N232" s="61">
        <f t="shared" ref="N232" si="371">M232*L232</f>
        <v>1800</v>
      </c>
      <c r="O232" s="64">
        <v>2350</v>
      </c>
      <c r="P232" s="64">
        <f t="shared" ref="P232" si="372">O232*I232</f>
        <v>11750</v>
      </c>
      <c r="Q232" s="65">
        <f t="shared" ref="Q232" si="373">P232+N232</f>
        <v>13550</v>
      </c>
      <c r="R232" s="132"/>
      <c r="S232" s="170">
        <f t="shared" ref="S232" si="374">((((N232*(1+$D$7))+(P232*(1+$D$5+$D$6)))*(1+$D$8)))/I232</f>
        <v>3490.8844249999993</v>
      </c>
      <c r="T232" s="169">
        <f t="shared" ref="T232" si="375">S232*I232</f>
        <v>17454.422124999997</v>
      </c>
    </row>
    <row r="233" spans="1:20" s="7" customFormat="1" x14ac:dyDescent="0.25">
      <c r="A233" s="131">
        <f>IF(J233&lt;&gt;"",1+MAX($A$19:A232),"")</f>
        <v>160</v>
      </c>
      <c r="B233" s="53"/>
      <c r="C233" s="53"/>
      <c r="D233" s="106" t="s">
        <v>65</v>
      </c>
      <c r="E233" s="183" t="s">
        <v>107</v>
      </c>
      <c r="F233" s="179" t="s">
        <v>937</v>
      </c>
      <c r="G233" s="54">
        <v>1</v>
      </c>
      <c r="H233" s="55">
        <f>IF(VLOOKUP(J233,'HOURLY RATES'!B$116:C$124,2,0)=0,$J$3,VLOOKUP(J233,'HOURLY RATES'!B$116:C$124,2,0))</f>
        <v>0</v>
      </c>
      <c r="I233" s="56">
        <f t="shared" si="362"/>
        <v>1</v>
      </c>
      <c r="J233" s="105" t="s">
        <v>251</v>
      </c>
      <c r="K233" s="394">
        <v>4.12</v>
      </c>
      <c r="L233" s="63">
        <f t="shared" si="363"/>
        <v>4.12</v>
      </c>
      <c r="M233" s="61">
        <f>IF(VLOOKUP(E233,'HOURLY RATES'!C$6:D$105,2,0)=0,$E$3,VLOOKUP(E233,'HOURLY RATES'!C$6:D$105,2,0))</f>
        <v>60</v>
      </c>
      <c r="N233" s="61">
        <f t="shared" si="364"/>
        <v>247.20000000000002</v>
      </c>
      <c r="O233" s="64">
        <v>1200</v>
      </c>
      <c r="P233" s="64">
        <f t="shared" si="365"/>
        <v>1200</v>
      </c>
      <c r="Q233" s="65">
        <f t="shared" si="366"/>
        <v>1447.2</v>
      </c>
      <c r="R233" s="132"/>
      <c r="S233" s="170">
        <f t="shared" si="367"/>
        <v>1859.7641999999996</v>
      </c>
      <c r="T233" s="169">
        <f t="shared" si="368"/>
        <v>1859.7641999999996</v>
      </c>
    </row>
    <row r="234" spans="1:20" s="7" customFormat="1" x14ac:dyDescent="0.25">
      <c r="A234" s="131" t="str">
        <f>IF(J234&lt;&gt;"",1+MAX($A$19:A233),"")</f>
        <v/>
      </c>
      <c r="B234" s="53"/>
      <c r="C234" s="53"/>
      <c r="D234" s="106"/>
      <c r="E234" s="183"/>
      <c r="F234" s="179" t="s">
        <v>248</v>
      </c>
      <c r="G234" s="54"/>
      <c r="H234" s="55"/>
      <c r="I234" s="56"/>
      <c r="J234" s="105"/>
      <c r="K234" s="394"/>
      <c r="L234" s="63"/>
      <c r="M234" s="61"/>
      <c r="N234" s="61"/>
      <c r="O234" s="64"/>
      <c r="P234" s="64"/>
      <c r="Q234" s="65"/>
      <c r="R234" s="132"/>
      <c r="S234" s="170"/>
      <c r="T234" s="169"/>
    </row>
    <row r="235" spans="1:20" s="7" customFormat="1" ht="18" x14ac:dyDescent="0.25">
      <c r="A235" s="131" t="str">
        <f>IF(J235&lt;&gt;"",1+MAX($A$19:A234),"")</f>
        <v/>
      </c>
      <c r="B235" s="53"/>
      <c r="C235" s="66"/>
      <c r="D235" s="106"/>
      <c r="E235" s="183"/>
      <c r="F235" s="178" t="s">
        <v>765</v>
      </c>
      <c r="G235" s="54"/>
      <c r="H235" s="55"/>
      <c r="I235" s="56"/>
      <c r="J235" s="105"/>
      <c r="K235" s="394"/>
      <c r="L235" s="63"/>
      <c r="M235" s="61"/>
      <c r="N235" s="61"/>
      <c r="O235" s="64"/>
      <c r="P235" s="64"/>
      <c r="Q235" s="65"/>
      <c r="R235" s="132"/>
      <c r="S235" s="170"/>
      <c r="T235" s="169"/>
    </row>
    <row r="236" spans="1:20" s="7" customFormat="1" x14ac:dyDescent="0.25">
      <c r="A236" s="131">
        <f>IF(J236&lt;&gt;"",1+MAX($A$19:A235),"")</f>
        <v>161</v>
      </c>
      <c r="B236" s="53"/>
      <c r="C236" s="53"/>
      <c r="D236" s="106" t="s">
        <v>65</v>
      </c>
      <c r="E236" s="183" t="s">
        <v>107</v>
      </c>
      <c r="F236" s="179" t="s">
        <v>806</v>
      </c>
      <c r="G236" s="54">
        <v>1711</v>
      </c>
      <c r="H236" s="55">
        <f>IF(VLOOKUP(J236,'HOURLY RATES'!B$116:C$124,2,0)=0,$J$3,VLOOKUP(J236,'HOURLY RATES'!B$116:C$124,2,0))</f>
        <v>0.05</v>
      </c>
      <c r="I236" s="56">
        <f t="shared" ref="I236" si="376">(G236*(1+H236))</f>
        <v>1796.5500000000002</v>
      </c>
      <c r="J236" s="105" t="s">
        <v>250</v>
      </c>
      <c r="K236" s="394">
        <f>3*0.01</f>
        <v>0.03</v>
      </c>
      <c r="L236" s="63">
        <f t="shared" ref="L236" si="377">K236*I236</f>
        <v>53.896500000000003</v>
      </c>
      <c r="M236" s="61">
        <f>IF(VLOOKUP(E236,'HOURLY RATES'!C$6:D$105,2,0)=0,$E$3,VLOOKUP(E236,'HOURLY RATES'!C$6:D$105,2,0))</f>
        <v>60</v>
      </c>
      <c r="N236" s="61">
        <f t="shared" ref="N236" si="378">M236*L236</f>
        <v>3233.79</v>
      </c>
      <c r="O236" s="64">
        <f>3*0.4563</f>
        <v>1.3689</v>
      </c>
      <c r="P236" s="64">
        <f t="shared" ref="P236" si="379">O236*I236</f>
        <v>2459.2972950000003</v>
      </c>
      <c r="Q236" s="65">
        <f t="shared" ref="Q236" si="380">P236+N236</f>
        <v>5693.0872950000003</v>
      </c>
      <c r="R236" s="132"/>
      <c r="S236" s="170">
        <f t="shared" ref="S236" si="381">((((N236*(1+$D$7))+(P236*(1+$D$5+$D$6)))*(1+$D$8)))/I236</f>
        <v>3.9704580499499995</v>
      </c>
      <c r="T236" s="169">
        <f t="shared" ref="T236" si="382">S236*I236</f>
        <v>7133.1264096376726</v>
      </c>
    </row>
    <row r="237" spans="1:20" s="7" customFormat="1" x14ac:dyDescent="0.25">
      <c r="A237" s="131" t="str">
        <f>IF(J237&lt;&gt;"",1+MAX($A$19:A236),"")</f>
        <v/>
      </c>
      <c r="B237" s="53"/>
      <c r="C237" s="53"/>
      <c r="D237" s="106"/>
      <c r="E237" s="183"/>
      <c r="F237" s="179" t="s">
        <v>248</v>
      </c>
      <c r="G237" s="54"/>
      <c r="H237" s="55"/>
      <c r="I237" s="56"/>
      <c r="J237" s="105"/>
      <c r="K237" s="394"/>
      <c r="L237" s="63"/>
      <c r="M237" s="61"/>
      <c r="N237" s="61"/>
      <c r="O237" s="64"/>
      <c r="P237" s="64"/>
      <c r="Q237" s="65"/>
      <c r="R237" s="132"/>
      <c r="S237" s="170"/>
      <c r="T237" s="169"/>
    </row>
    <row r="238" spans="1:20" s="7" customFormat="1" x14ac:dyDescent="0.25">
      <c r="A238" s="131">
        <f>IF(J238&lt;&gt;"",1+MAX($A$19:A237),"")</f>
        <v>162</v>
      </c>
      <c r="B238" s="53"/>
      <c r="C238" s="53"/>
      <c r="D238" s="106" t="s">
        <v>65</v>
      </c>
      <c r="E238" s="183" t="s">
        <v>107</v>
      </c>
      <c r="F238" s="179" t="s">
        <v>807</v>
      </c>
      <c r="G238" s="54">
        <v>34.97</v>
      </c>
      <c r="H238" s="55">
        <f>IF(VLOOKUP(J238,'HOURLY RATES'!B$116:C$124,2,0)=0,$J$3,VLOOKUP(J238,'HOURLY RATES'!B$116:C$124,2,0))</f>
        <v>0.05</v>
      </c>
      <c r="I238" s="56">
        <f t="shared" ref="I238" si="383">(G238*(1+H238))</f>
        <v>36.718499999999999</v>
      </c>
      <c r="J238" s="105" t="s">
        <v>250</v>
      </c>
      <c r="K238" s="394">
        <v>0.14499999999999999</v>
      </c>
      <c r="L238" s="63">
        <f t="shared" ref="L238" si="384">K238*I238</f>
        <v>5.3241824999999992</v>
      </c>
      <c r="M238" s="61">
        <f>IF(VLOOKUP(E238,'HOURLY RATES'!C$6:D$105,2,0)=0,$E$3,VLOOKUP(E238,'HOURLY RATES'!C$6:D$105,2,0))</f>
        <v>60</v>
      </c>
      <c r="N238" s="61">
        <f t="shared" ref="N238" si="385">M238*L238</f>
        <v>319.45094999999992</v>
      </c>
      <c r="O238" s="64">
        <v>10.3</v>
      </c>
      <c r="P238" s="64">
        <f t="shared" ref="P238" si="386">O238*I238</f>
        <v>378.20055000000002</v>
      </c>
      <c r="Q238" s="65">
        <f t="shared" ref="Q238" si="387">P238+N238</f>
        <v>697.65149999999994</v>
      </c>
      <c r="R238" s="132"/>
      <c r="S238" s="170">
        <f t="shared" ref="S238" si="388">((((N238*(1+$D$7))+(P238*(1+$D$5+$D$6)))*(1+$D$8)))/I238</f>
        <v>23.975223649999993</v>
      </c>
      <c r="T238" s="169">
        <f t="shared" ref="T238" si="389">S238*I238</f>
        <v>880.33424959252477</v>
      </c>
    </row>
    <row r="239" spans="1:20" s="7" customFormat="1" x14ac:dyDescent="0.25">
      <c r="A239" s="131">
        <f>IF(J239&lt;&gt;"",1+MAX($A$19:A238),"")</f>
        <v>163</v>
      </c>
      <c r="B239" s="53"/>
      <c r="C239" s="53"/>
      <c r="D239" s="106" t="s">
        <v>65</v>
      </c>
      <c r="E239" s="183" t="s">
        <v>107</v>
      </c>
      <c r="F239" s="179" t="s">
        <v>808</v>
      </c>
      <c r="G239" s="54">
        <v>366.43</v>
      </c>
      <c r="H239" s="55">
        <f>IF(VLOOKUP(J239,'HOURLY RATES'!B$116:C$124,2,0)=0,$J$3,VLOOKUP(J239,'HOURLY RATES'!B$116:C$124,2,0))</f>
        <v>0.05</v>
      </c>
      <c r="I239" s="56">
        <f t="shared" ref="I239" si="390">(G239*(1+H239))</f>
        <v>384.75150000000002</v>
      </c>
      <c r="J239" s="105" t="s">
        <v>250</v>
      </c>
      <c r="K239" s="394">
        <v>3.5000000000000003E-2</v>
      </c>
      <c r="L239" s="63">
        <f t="shared" ref="L239" si="391">K239*I239</f>
        <v>13.466302500000001</v>
      </c>
      <c r="M239" s="61">
        <f>IF(VLOOKUP(E239,'HOURLY RATES'!C$6:D$105,2,0)=0,$E$3,VLOOKUP(E239,'HOURLY RATES'!C$6:D$105,2,0))</f>
        <v>60</v>
      </c>
      <c r="N239" s="61">
        <f t="shared" ref="N239" si="392">M239*L239</f>
        <v>807.97815000000003</v>
      </c>
      <c r="O239" s="64">
        <v>1.52</v>
      </c>
      <c r="P239" s="64">
        <f t="shared" ref="P239" si="393">O239*I239</f>
        <v>584.82228000000009</v>
      </c>
      <c r="Q239" s="65">
        <f t="shared" ref="Q239" si="394">P239+N239</f>
        <v>1392.8004300000002</v>
      </c>
      <c r="R239" s="132"/>
      <c r="S239" s="170">
        <f t="shared" ref="S239" si="395">((((N239*(1+$D$7))+(P239*(1+$D$5+$D$6)))*(1+$D$8)))/I239</f>
        <v>4.5321211599999991</v>
      </c>
      <c r="T239" s="169">
        <f t="shared" ref="T239" si="396">S239*I239</f>
        <v>1743.7404144917398</v>
      </c>
    </row>
    <row r="240" spans="1:20" s="7" customFormat="1" x14ac:dyDescent="0.25">
      <c r="A240" s="131" t="str">
        <f>IF(J240&lt;&gt;"",1+MAX($A$19:A239),"")</f>
        <v/>
      </c>
      <c r="B240" s="53"/>
      <c r="C240" s="66"/>
      <c r="D240" s="106"/>
      <c r="E240" s="183"/>
      <c r="F240" s="180" t="s">
        <v>248</v>
      </c>
      <c r="G240" s="54"/>
      <c r="H240" s="55"/>
      <c r="I240" s="56"/>
      <c r="J240" s="105"/>
      <c r="K240" s="394"/>
      <c r="L240" s="63"/>
      <c r="M240" s="61"/>
      <c r="N240" s="61"/>
      <c r="O240" s="64"/>
      <c r="P240" s="64"/>
      <c r="Q240" s="65"/>
      <c r="R240" s="132"/>
      <c r="S240" s="170"/>
      <c r="T240" s="169"/>
    </row>
    <row r="241" spans="1:20" s="7" customFormat="1" x14ac:dyDescent="0.25">
      <c r="A241" s="131">
        <f>IF(J241&lt;&gt;"",1+MAX($A$19:A240),"")</f>
        <v>164</v>
      </c>
      <c r="B241" s="53"/>
      <c r="C241" s="53"/>
      <c r="D241" s="106" t="s">
        <v>65</v>
      </c>
      <c r="E241" s="183" t="s">
        <v>107</v>
      </c>
      <c r="F241" s="180" t="s">
        <v>797</v>
      </c>
      <c r="G241" s="110">
        <v>1310</v>
      </c>
      <c r="H241" s="55">
        <f>IF(VLOOKUP(J241,'HOURLY RATES'!B$116:C$124,2,0)=0,$J$3,VLOOKUP(J241,'HOURLY RATES'!B$116:C$124,2,0))</f>
        <v>0.05</v>
      </c>
      <c r="I241" s="56">
        <f t="shared" ref="I241:I246" si="397">(G241*(1+H241))</f>
        <v>1375.5</v>
      </c>
      <c r="J241" s="105" t="s">
        <v>250</v>
      </c>
      <c r="K241" s="394">
        <v>8.8999999999999996E-2</v>
      </c>
      <c r="L241" s="63">
        <f t="shared" ref="L241" si="398">K241*I241</f>
        <v>122.4195</v>
      </c>
      <c r="M241" s="61">
        <f>IF(VLOOKUP(E241,'HOURLY RATES'!C$6:D$105,2,0)=0,$E$3,VLOOKUP(E241,'HOURLY RATES'!C$6:D$105,2,0))</f>
        <v>60</v>
      </c>
      <c r="N241" s="61">
        <f t="shared" ref="N241" si="399">M241*L241</f>
        <v>7345.17</v>
      </c>
      <c r="O241" s="64">
        <v>5.9</v>
      </c>
      <c r="P241" s="64">
        <f t="shared" ref="P241" si="400">O241*I241</f>
        <v>8115.4500000000007</v>
      </c>
      <c r="Q241" s="65">
        <f t="shared" ref="Q241" si="401">P241+N241</f>
        <v>15460.62</v>
      </c>
      <c r="R241" s="132"/>
      <c r="S241" s="170">
        <f t="shared" ref="S241" si="402">((((N241*(1+$D$7))+(P241*(1+$D$5+$D$6)))*(1+$D$8)))/I241</f>
        <v>14.167603449999996</v>
      </c>
      <c r="T241" s="169">
        <f t="shared" ref="T241" si="403">S241*I241</f>
        <v>19487.538545474996</v>
      </c>
    </row>
    <row r="242" spans="1:20" s="7" customFormat="1" x14ac:dyDescent="0.25">
      <c r="A242" s="131">
        <f>IF(J242&lt;&gt;"",1+MAX($A$19:A241),"")</f>
        <v>165</v>
      </c>
      <c r="B242" s="108"/>
      <c r="C242" s="109"/>
      <c r="D242" s="106"/>
      <c r="E242" s="184"/>
      <c r="F242" s="181" t="s">
        <v>756</v>
      </c>
      <c r="G242" s="110">
        <f>ROUNDUP(G241*8%,0)</f>
        <v>105</v>
      </c>
      <c r="H242" s="111">
        <v>0</v>
      </c>
      <c r="I242" s="112">
        <f t="shared" si="397"/>
        <v>105</v>
      </c>
      <c r="J242" s="105" t="s">
        <v>251</v>
      </c>
      <c r="K242" s="394"/>
      <c r="L242" s="395"/>
      <c r="M242" s="396"/>
      <c r="N242" s="396"/>
      <c r="O242" s="397"/>
      <c r="P242" s="397"/>
      <c r="Q242" s="398"/>
      <c r="R242" s="132"/>
      <c r="S242" s="170"/>
      <c r="T242" s="169"/>
    </row>
    <row r="243" spans="1:20" s="7" customFormat="1" x14ac:dyDescent="0.25">
      <c r="A243" s="131">
        <f>IF(J243&lt;&gt;"",1+MAX($A$19:A242),"")</f>
        <v>166</v>
      </c>
      <c r="B243" s="108"/>
      <c r="C243" s="109"/>
      <c r="D243" s="106"/>
      <c r="E243" s="184"/>
      <c r="F243" s="181" t="s">
        <v>757</v>
      </c>
      <c r="G243" s="110">
        <f>ROUNDUP(G241/10,0)</f>
        <v>131</v>
      </c>
      <c r="H243" s="111">
        <v>0</v>
      </c>
      <c r="I243" s="112">
        <f t="shared" si="397"/>
        <v>131</v>
      </c>
      <c r="J243" s="105" t="s">
        <v>251</v>
      </c>
      <c r="K243" s="394"/>
      <c r="L243" s="395"/>
      <c r="M243" s="396"/>
      <c r="N243" s="396"/>
      <c r="O243" s="397"/>
      <c r="P243" s="397"/>
      <c r="Q243" s="398"/>
      <c r="R243" s="132"/>
      <c r="S243" s="170"/>
      <c r="T243" s="169"/>
    </row>
    <row r="244" spans="1:20" s="7" customFormat="1" x14ac:dyDescent="0.25">
      <c r="A244" s="131">
        <f>IF(J244&lt;&gt;"",1+MAX($A$19:A243),"")</f>
        <v>167</v>
      </c>
      <c r="B244" s="108"/>
      <c r="C244" s="109"/>
      <c r="D244" s="106"/>
      <c r="E244" s="184"/>
      <c r="F244" s="181" t="s">
        <v>758</v>
      </c>
      <c r="G244" s="110">
        <f>ROUNDUP(G241/9.2,0)+ROUNDUP(G241*4%,0)</f>
        <v>196</v>
      </c>
      <c r="H244" s="111">
        <v>0</v>
      </c>
      <c r="I244" s="112">
        <f t="shared" si="397"/>
        <v>196</v>
      </c>
      <c r="J244" s="105" t="s">
        <v>251</v>
      </c>
      <c r="K244" s="394"/>
      <c r="L244" s="395"/>
      <c r="M244" s="396"/>
      <c r="N244" s="396"/>
      <c r="O244" s="397"/>
      <c r="P244" s="397"/>
      <c r="Q244" s="398"/>
      <c r="R244" s="132"/>
      <c r="S244" s="170"/>
      <c r="T244" s="169"/>
    </row>
    <row r="245" spans="1:20" s="7" customFormat="1" x14ac:dyDescent="0.25">
      <c r="A245" s="131">
        <f>IF(J245&lt;&gt;"",1+MAX($A$19:A244),"")</f>
        <v>168</v>
      </c>
      <c r="B245" s="108"/>
      <c r="C245" s="109"/>
      <c r="D245" s="106"/>
      <c r="E245" s="184"/>
      <c r="F245" s="181" t="s">
        <v>746</v>
      </c>
      <c r="G245" s="110">
        <f>ROUNDUP(G241/9.2,0)+ROUNDUP(G241*9%,0)</f>
        <v>261</v>
      </c>
      <c r="H245" s="111">
        <v>0</v>
      </c>
      <c r="I245" s="112">
        <f t="shared" si="397"/>
        <v>261</v>
      </c>
      <c r="J245" s="105" t="s">
        <v>251</v>
      </c>
      <c r="K245" s="394"/>
      <c r="L245" s="395"/>
      <c r="M245" s="396"/>
      <c r="N245" s="396"/>
      <c r="O245" s="397"/>
      <c r="P245" s="397"/>
      <c r="Q245" s="398"/>
      <c r="R245" s="132"/>
      <c r="S245" s="170"/>
      <c r="T245" s="169"/>
    </row>
    <row r="246" spans="1:20" s="7" customFormat="1" x14ac:dyDescent="0.25">
      <c r="A246" s="131">
        <f>IF(J246&lt;&gt;"",1+MAX($A$19:A245),"")</f>
        <v>169</v>
      </c>
      <c r="B246" s="108"/>
      <c r="C246" s="109"/>
      <c r="D246" s="106"/>
      <c r="E246" s="184"/>
      <c r="F246" s="181" t="s">
        <v>747</v>
      </c>
      <c r="G246" s="110">
        <f>ROUNDUP(G241/9.2,0)+ROUNDUP(G241*9%,0)</f>
        <v>261</v>
      </c>
      <c r="H246" s="111">
        <v>0</v>
      </c>
      <c r="I246" s="112">
        <f t="shared" si="397"/>
        <v>261</v>
      </c>
      <c r="J246" s="105" t="s">
        <v>251</v>
      </c>
      <c r="K246" s="394"/>
      <c r="L246" s="395"/>
      <c r="M246" s="396"/>
      <c r="N246" s="396"/>
      <c r="O246" s="397"/>
      <c r="P246" s="397"/>
      <c r="Q246" s="398"/>
      <c r="R246" s="132"/>
      <c r="S246" s="170"/>
      <c r="T246" s="169"/>
    </row>
    <row r="247" spans="1:20" s="7" customFormat="1" x14ac:dyDescent="0.25">
      <c r="A247" s="131" t="str">
        <f>IF(J247&lt;&gt;"",1+MAX($A$19:A246),"")</f>
        <v/>
      </c>
      <c r="B247" s="53"/>
      <c r="C247" s="66"/>
      <c r="D247" s="106"/>
      <c r="E247" s="183"/>
      <c r="F247" s="180" t="s">
        <v>248</v>
      </c>
      <c r="G247" s="54"/>
      <c r="H247" s="55"/>
      <c r="I247" s="56"/>
      <c r="J247" s="105"/>
      <c r="K247" s="394"/>
      <c r="L247" s="63"/>
      <c r="M247" s="61"/>
      <c r="N247" s="61"/>
      <c r="O247" s="64"/>
      <c r="P247" s="64"/>
      <c r="Q247" s="65"/>
      <c r="R247" s="132"/>
      <c r="S247" s="170"/>
      <c r="T247" s="169"/>
    </row>
    <row r="248" spans="1:20" s="7" customFormat="1" ht="18" x14ac:dyDescent="0.25">
      <c r="A248" s="131" t="str">
        <f>IF(J248&lt;&gt;"",1+MAX($A$19:A247),"")</f>
        <v/>
      </c>
      <c r="B248" s="53"/>
      <c r="C248" s="66"/>
      <c r="D248" s="106"/>
      <c r="E248" s="183"/>
      <c r="F248" s="178" t="s">
        <v>817</v>
      </c>
      <c r="G248" s="54"/>
      <c r="H248" s="55"/>
      <c r="I248" s="56"/>
      <c r="J248" s="105"/>
      <c r="K248" s="394"/>
      <c r="L248" s="63"/>
      <c r="M248" s="61"/>
      <c r="N248" s="61"/>
      <c r="O248" s="64"/>
      <c r="P248" s="64"/>
      <c r="Q248" s="65"/>
      <c r="R248" s="132"/>
      <c r="S248" s="170"/>
      <c r="T248" s="169"/>
    </row>
    <row r="249" spans="1:20" s="7" customFormat="1" x14ac:dyDescent="0.25">
      <c r="A249" s="131">
        <f>IF(J249&lt;&gt;"",1+MAX($A$19:A248),"")</f>
        <v>170</v>
      </c>
      <c r="B249" s="53"/>
      <c r="C249" s="53"/>
      <c r="D249" s="106" t="s">
        <v>65</v>
      </c>
      <c r="E249" s="183" t="s">
        <v>107</v>
      </c>
      <c r="F249" s="179" t="s">
        <v>809</v>
      </c>
      <c r="G249" s="123">
        <v>559</v>
      </c>
      <c r="H249" s="55">
        <f>IF(VLOOKUP(J249,'HOURLY RATES'!B$116:C$124,2,0)=0,$J$3,VLOOKUP(J249,'HOURLY RATES'!B$116:C$124,2,0))</f>
        <v>0.05</v>
      </c>
      <c r="I249" s="56">
        <f t="shared" ref="I249:I250" si="404">(G249*(1+H249))</f>
        <v>586.95000000000005</v>
      </c>
      <c r="J249" s="105" t="s">
        <v>250</v>
      </c>
      <c r="K249" s="394">
        <f>3*0.00727</f>
        <v>2.1810000000000003E-2</v>
      </c>
      <c r="L249" s="63">
        <f t="shared" ref="L249:L250" si="405">K249*I249</f>
        <v>12.801379500000003</v>
      </c>
      <c r="M249" s="61">
        <f>IF(VLOOKUP(E249,'HOURLY RATES'!C$6:D$105,2,0)=0,$E$3,VLOOKUP(E249,'HOURLY RATES'!C$6:D$105,2,0))</f>
        <v>60</v>
      </c>
      <c r="N249" s="61">
        <f t="shared" ref="N249:N250" si="406">M249*L249</f>
        <v>768.08277000000021</v>
      </c>
      <c r="O249" s="64">
        <f>3*0.2991</f>
        <v>0.89729999999999999</v>
      </c>
      <c r="P249" s="64">
        <f t="shared" ref="P249:P250" si="407">O249*I249</f>
        <v>526.67023500000005</v>
      </c>
      <c r="Q249" s="65">
        <f t="shared" ref="Q249:Q250" si="408">P249+N249</f>
        <v>1294.7530050000003</v>
      </c>
      <c r="R249" s="132"/>
      <c r="S249" s="170">
        <f t="shared" ref="S249:S250" si="409">((((N249*(1+$D$7))+(P249*(1+$D$5+$D$6)))*(1+$D$8)))/I249</f>
        <v>2.7593737321499994</v>
      </c>
      <c r="T249" s="169">
        <f t="shared" ref="T249:T250" si="410">S249*I249</f>
        <v>1619.6144120854422</v>
      </c>
    </row>
    <row r="250" spans="1:20" s="7" customFormat="1" x14ac:dyDescent="0.25">
      <c r="A250" s="131">
        <f>IF(J250&lt;&gt;"",1+MAX($A$19:A249),"")</f>
        <v>171</v>
      </c>
      <c r="B250" s="53"/>
      <c r="C250" s="53"/>
      <c r="D250" s="106" t="s">
        <v>65</v>
      </c>
      <c r="E250" s="183" t="s">
        <v>107</v>
      </c>
      <c r="F250" s="179" t="s">
        <v>810</v>
      </c>
      <c r="G250" s="123">
        <v>522</v>
      </c>
      <c r="H250" s="55">
        <f>IF(VLOOKUP(J250,'HOURLY RATES'!B$116:C$124,2,0)=0,$J$3,VLOOKUP(J250,'HOURLY RATES'!B$116:C$124,2,0))</f>
        <v>0.05</v>
      </c>
      <c r="I250" s="56">
        <f t="shared" si="404"/>
        <v>548.1</v>
      </c>
      <c r="J250" s="105" t="s">
        <v>250</v>
      </c>
      <c r="K250" s="394">
        <f>0.00727*3</f>
        <v>2.1810000000000003E-2</v>
      </c>
      <c r="L250" s="63">
        <f t="shared" si="405"/>
        <v>11.954061000000003</v>
      </c>
      <c r="M250" s="61">
        <f>IF(VLOOKUP(E250,'HOURLY RATES'!C$6:D$105,2,0)=0,$E$3,VLOOKUP(E250,'HOURLY RATES'!C$6:D$105,2,0))</f>
        <v>60</v>
      </c>
      <c r="N250" s="61">
        <f t="shared" si="406"/>
        <v>717.2436600000002</v>
      </c>
      <c r="O250" s="64">
        <f>3*0.218</f>
        <v>0.65400000000000003</v>
      </c>
      <c r="P250" s="64">
        <f t="shared" si="407"/>
        <v>358.45740000000001</v>
      </c>
      <c r="Q250" s="65">
        <f t="shared" si="408"/>
        <v>1075.7010600000003</v>
      </c>
      <c r="R250" s="132"/>
      <c r="S250" s="170">
        <f t="shared" si="409"/>
        <v>2.443352457</v>
      </c>
      <c r="T250" s="169">
        <f t="shared" si="410"/>
        <v>1339.2014816817</v>
      </c>
    </row>
    <row r="251" spans="1:20" s="7" customFormat="1" x14ac:dyDescent="0.25">
      <c r="A251" s="131">
        <f>IF(J251&lt;&gt;"",1+MAX($A$19:A250),"")</f>
        <v>172</v>
      </c>
      <c r="B251" s="53"/>
      <c r="C251" s="53"/>
      <c r="D251" s="106" t="s">
        <v>65</v>
      </c>
      <c r="E251" s="183" t="s">
        <v>107</v>
      </c>
      <c r="F251" s="179" t="s">
        <v>806</v>
      </c>
      <c r="G251" s="123">
        <v>710</v>
      </c>
      <c r="H251" s="55">
        <f>IF(VLOOKUP(J251,'HOURLY RATES'!B$116:C$124,2,0)=0,$J$3,VLOOKUP(J251,'HOURLY RATES'!B$116:C$124,2,0))</f>
        <v>0.05</v>
      </c>
      <c r="I251" s="56">
        <f t="shared" ref="I251:I252" si="411">(G251*(1+H251))</f>
        <v>745.5</v>
      </c>
      <c r="J251" s="105" t="s">
        <v>250</v>
      </c>
      <c r="K251" s="394">
        <f>3*0.01</f>
        <v>0.03</v>
      </c>
      <c r="L251" s="63">
        <f t="shared" ref="L251:L252" si="412">K251*I251</f>
        <v>22.364999999999998</v>
      </c>
      <c r="M251" s="61">
        <f>IF(VLOOKUP(E251,'HOURLY RATES'!C$6:D$105,2,0)=0,$E$3,VLOOKUP(E251,'HOURLY RATES'!C$6:D$105,2,0))</f>
        <v>60</v>
      </c>
      <c r="N251" s="61">
        <f t="shared" ref="N251:N252" si="413">M251*L251</f>
        <v>1341.8999999999999</v>
      </c>
      <c r="O251" s="64">
        <f>3*0.7563</f>
        <v>2.2688999999999999</v>
      </c>
      <c r="P251" s="64">
        <f t="shared" ref="P251:P252" si="414">O251*I251</f>
        <v>1691.46495</v>
      </c>
      <c r="Q251" s="65">
        <f t="shared" ref="Q251:Q252" si="415">P251+N251</f>
        <v>3033.3649500000001</v>
      </c>
      <c r="R251" s="132"/>
      <c r="S251" s="170">
        <f t="shared" ref="S251:S252" si="416">((((N251*(1+$D$7))+(P251*(1+$D$5+$D$6)))*(1+$D$8)))/I251</f>
        <v>5.1394639999499985</v>
      </c>
      <c r="T251" s="169">
        <f t="shared" ref="T251:T252" si="417">S251*I251</f>
        <v>3831.470411962724</v>
      </c>
    </row>
    <row r="252" spans="1:20" s="7" customFormat="1" x14ac:dyDescent="0.25">
      <c r="A252" s="131">
        <f>IF(J252&lt;&gt;"",1+MAX($A$19:A251),"")</f>
        <v>173</v>
      </c>
      <c r="B252" s="53"/>
      <c r="C252" s="53"/>
      <c r="D252" s="106" t="s">
        <v>65</v>
      </c>
      <c r="E252" s="183" t="s">
        <v>107</v>
      </c>
      <c r="F252" s="179" t="s">
        <v>811</v>
      </c>
      <c r="G252" s="123">
        <v>163</v>
      </c>
      <c r="H252" s="55">
        <f>IF(VLOOKUP(J252,'HOURLY RATES'!B$116:C$124,2,0)=0,$J$3,VLOOKUP(J252,'HOURLY RATES'!B$116:C$124,2,0))</f>
        <v>0.05</v>
      </c>
      <c r="I252" s="56">
        <f t="shared" si="411"/>
        <v>171.15</v>
      </c>
      <c r="J252" s="105" t="s">
        <v>250</v>
      </c>
      <c r="K252" s="394">
        <f>0.00727*4</f>
        <v>2.9080000000000002E-2</v>
      </c>
      <c r="L252" s="63">
        <f t="shared" si="412"/>
        <v>4.9770420000000009</v>
      </c>
      <c r="M252" s="61">
        <f>IF(VLOOKUP(E252,'HOURLY RATES'!C$6:D$105,2,0)=0,$E$3,VLOOKUP(E252,'HOURLY RATES'!C$6:D$105,2,0))</f>
        <v>60</v>
      </c>
      <c r="N252" s="61">
        <f t="shared" si="413"/>
        <v>298.62252000000007</v>
      </c>
      <c r="O252" s="64">
        <f>4*0.218</f>
        <v>0.872</v>
      </c>
      <c r="P252" s="64">
        <f t="shared" si="414"/>
        <v>149.24280000000002</v>
      </c>
      <c r="Q252" s="65">
        <f t="shared" si="415"/>
        <v>447.86532000000011</v>
      </c>
      <c r="R252" s="132"/>
      <c r="S252" s="170">
        <f t="shared" si="416"/>
        <v>3.2578032760000006</v>
      </c>
      <c r="T252" s="169">
        <f t="shared" si="417"/>
        <v>557.57303068740009</v>
      </c>
    </row>
    <row r="253" spans="1:20" s="7" customFormat="1" x14ac:dyDescent="0.25">
      <c r="A253" s="131" t="str">
        <f>IF(J253&lt;&gt;"",1+MAX($A$19:A252),"")</f>
        <v/>
      </c>
      <c r="B253" s="53"/>
      <c r="C253" s="66"/>
      <c r="D253" s="106"/>
      <c r="E253" s="183"/>
      <c r="F253" s="180" t="s">
        <v>248</v>
      </c>
      <c r="G253" s="54"/>
      <c r="H253" s="55"/>
      <c r="I253" s="56"/>
      <c r="J253" s="105"/>
      <c r="K253" s="394"/>
      <c r="L253" s="63"/>
      <c r="M253" s="61"/>
      <c r="N253" s="61"/>
      <c r="O253" s="64"/>
      <c r="P253" s="64"/>
      <c r="Q253" s="65"/>
      <c r="R253" s="132"/>
      <c r="S253" s="170"/>
      <c r="T253" s="169"/>
    </row>
    <row r="254" spans="1:20" s="7" customFormat="1" x14ac:dyDescent="0.25">
      <c r="A254" s="131">
        <f>IF(J254&lt;&gt;"",1+MAX($A$19:A253),"")</f>
        <v>174</v>
      </c>
      <c r="B254" s="53"/>
      <c r="C254" s="53"/>
      <c r="D254" s="106" t="s">
        <v>65</v>
      </c>
      <c r="E254" s="183" t="s">
        <v>107</v>
      </c>
      <c r="F254" s="179" t="s">
        <v>808</v>
      </c>
      <c r="G254" s="123">
        <v>195.13</v>
      </c>
      <c r="H254" s="55">
        <f>IF(VLOOKUP(J254,'HOURLY RATES'!B$116:C$124,2,0)=0,$J$3,VLOOKUP(J254,'HOURLY RATES'!B$116:C$124,2,0))</f>
        <v>0.05</v>
      </c>
      <c r="I254" s="56">
        <f t="shared" ref="I254:I257" si="418">(G254*(1+H254))</f>
        <v>204.88650000000001</v>
      </c>
      <c r="J254" s="105" t="s">
        <v>250</v>
      </c>
      <c r="K254" s="394">
        <v>0.04</v>
      </c>
      <c r="L254" s="63">
        <f t="shared" ref="L254:L257" si="419">K254*I254</f>
        <v>8.1954600000000006</v>
      </c>
      <c r="M254" s="61">
        <f>IF(VLOOKUP(E254,'HOURLY RATES'!C$6:D$105,2,0)=0,$E$3,VLOOKUP(E254,'HOURLY RATES'!C$6:D$105,2,0))</f>
        <v>60</v>
      </c>
      <c r="N254" s="61">
        <f t="shared" ref="N254:N257" si="420">M254*L254</f>
        <v>491.72760000000005</v>
      </c>
      <c r="O254" s="64">
        <v>1.8</v>
      </c>
      <c r="P254" s="64">
        <f t="shared" ref="P254:P257" si="421">O254*I254</f>
        <v>368.79570000000001</v>
      </c>
      <c r="Q254" s="65">
        <f t="shared" ref="Q254:Q257" si="422">P254+N254</f>
        <v>860.52330000000006</v>
      </c>
      <c r="R254" s="132"/>
      <c r="S254" s="170">
        <f t="shared" ref="S254:S257" si="423">((((N254*(1+$D$7))+(P254*(1+$D$5+$D$6)))*(1+$D$8)))/I254</f>
        <v>5.2612118999999993</v>
      </c>
      <c r="T254" s="169">
        <f t="shared" ref="T254:T257" si="424">S254*I254</f>
        <v>1077.95129194935</v>
      </c>
    </row>
    <row r="255" spans="1:20" s="7" customFormat="1" x14ac:dyDescent="0.25">
      <c r="A255" s="131">
        <f>IF(J255&lt;&gt;"",1+MAX($A$19:A254),"")</f>
        <v>175</v>
      </c>
      <c r="B255" s="53"/>
      <c r="C255" s="53"/>
      <c r="D255" s="106" t="s">
        <v>65</v>
      </c>
      <c r="E255" s="183" t="s">
        <v>107</v>
      </c>
      <c r="F255" s="179" t="s">
        <v>812</v>
      </c>
      <c r="G255" s="123">
        <v>680</v>
      </c>
      <c r="H255" s="55">
        <f>IF(VLOOKUP(J255,'HOURLY RATES'!B$116:C$124,2,0)=0,$J$3,VLOOKUP(J255,'HOURLY RATES'!B$116:C$124,2,0))</f>
        <v>0.05</v>
      </c>
      <c r="I255" s="56">
        <f>(G255*(1+H255))</f>
        <v>714</v>
      </c>
      <c r="J255" s="105" t="s">
        <v>250</v>
      </c>
      <c r="K255" s="394">
        <v>2.5000000000000001E-2</v>
      </c>
      <c r="L255" s="63">
        <f>K255*I255</f>
        <v>17.850000000000001</v>
      </c>
      <c r="M255" s="61">
        <f>IF(VLOOKUP(E255,'HOURLY RATES'!C$6:D$105,2,0)=0,$E$3,VLOOKUP(E255,'HOURLY RATES'!C$6:D$105,2,0))</f>
        <v>60</v>
      </c>
      <c r="N255" s="61">
        <f>M255*L255</f>
        <v>1071</v>
      </c>
      <c r="O255" s="64">
        <v>0.92</v>
      </c>
      <c r="P255" s="64">
        <f>O255*I255</f>
        <v>656.88</v>
      </c>
      <c r="Q255" s="65">
        <f>P255+N255</f>
        <v>1727.88</v>
      </c>
      <c r="R255" s="132"/>
      <c r="S255" s="170">
        <f>((((N255*(1+$D$7))+(P255*(1+$D$5+$D$6)))*(1+$D$8)))/I255</f>
        <v>3.0219838599999993</v>
      </c>
      <c r="T255" s="169">
        <f>S255*I255</f>
        <v>2157.6964760399997</v>
      </c>
    </row>
    <row r="256" spans="1:20" s="7" customFormat="1" x14ac:dyDescent="0.25">
      <c r="A256" s="131">
        <f>IF(J256&lt;&gt;"",1+MAX($A$19:A255),"")</f>
        <v>176</v>
      </c>
      <c r="B256" s="53"/>
      <c r="C256" s="53"/>
      <c r="D256" s="106" t="s">
        <v>65</v>
      </c>
      <c r="E256" s="183" t="s">
        <v>107</v>
      </c>
      <c r="F256" s="179" t="s">
        <v>814</v>
      </c>
      <c r="G256" s="123">
        <v>33.130000000000003</v>
      </c>
      <c r="H256" s="55">
        <f>IF(VLOOKUP(J256,'HOURLY RATES'!B$116:C$124,2,0)=0,$J$3,VLOOKUP(J256,'HOURLY RATES'!B$116:C$124,2,0))</f>
        <v>0.05</v>
      </c>
      <c r="I256" s="56">
        <f t="shared" ref="I256" si="425">(G256*(1+H256))</f>
        <v>34.786500000000004</v>
      </c>
      <c r="J256" s="105" t="s">
        <v>250</v>
      </c>
      <c r="K256" s="394">
        <v>0.03</v>
      </c>
      <c r="L256" s="63">
        <f t="shared" ref="L256" si="426">K256*I256</f>
        <v>1.0435950000000001</v>
      </c>
      <c r="M256" s="61">
        <f>IF(VLOOKUP(E256,'HOURLY RATES'!C$6:D$105,2,0)=0,$E$3,VLOOKUP(E256,'HOURLY RATES'!C$6:D$105,2,0))</f>
        <v>60</v>
      </c>
      <c r="N256" s="61">
        <f t="shared" ref="N256" si="427">M256*L256</f>
        <v>62.615700000000004</v>
      </c>
      <c r="O256" s="64">
        <v>1.25</v>
      </c>
      <c r="P256" s="64">
        <f t="shared" ref="P256" si="428">O256*I256</f>
        <v>43.483125000000001</v>
      </c>
      <c r="Q256" s="65">
        <f t="shared" ref="Q256" si="429">P256+N256</f>
        <v>106.09882500000001</v>
      </c>
      <c r="R256" s="132"/>
      <c r="S256" s="170">
        <f t="shared" ref="S256" si="430">((((N256*(1+$D$7))+(P256*(1+$D$5+$D$6)))*(1+$D$8)))/I256</f>
        <v>3.8160193749999989</v>
      </c>
      <c r="T256" s="169">
        <f t="shared" ref="T256" si="431">S256*I256</f>
        <v>132.74595798843748</v>
      </c>
    </row>
    <row r="257" spans="1:20" s="7" customFormat="1" x14ac:dyDescent="0.25">
      <c r="A257" s="131">
        <f>IF(J257&lt;&gt;"",1+MAX($A$19:A256),"")</f>
        <v>177</v>
      </c>
      <c r="B257" s="53"/>
      <c r="C257" s="53"/>
      <c r="D257" s="106" t="s">
        <v>65</v>
      </c>
      <c r="E257" s="183" t="s">
        <v>107</v>
      </c>
      <c r="F257" s="179" t="s">
        <v>807</v>
      </c>
      <c r="G257" s="123">
        <v>15.3</v>
      </c>
      <c r="H257" s="55">
        <f>IF(VLOOKUP(J257,'HOURLY RATES'!B$116:C$124,2,0)=0,$J$3,VLOOKUP(J257,'HOURLY RATES'!B$116:C$124,2,0))</f>
        <v>0.05</v>
      </c>
      <c r="I257" s="56">
        <f t="shared" si="418"/>
        <v>16.065000000000001</v>
      </c>
      <c r="J257" s="105" t="s">
        <v>250</v>
      </c>
      <c r="K257" s="394">
        <v>0.14499999999999999</v>
      </c>
      <c r="L257" s="63">
        <f t="shared" si="419"/>
        <v>2.3294250000000001</v>
      </c>
      <c r="M257" s="61">
        <f>IF(VLOOKUP(E257,'HOURLY RATES'!C$6:D$105,2,0)=0,$E$3,VLOOKUP(E257,'HOURLY RATES'!C$6:D$105,2,0))</f>
        <v>60</v>
      </c>
      <c r="N257" s="61">
        <f t="shared" si="420"/>
        <v>139.7655</v>
      </c>
      <c r="O257" s="64">
        <v>10.3</v>
      </c>
      <c r="P257" s="64">
        <f t="shared" si="421"/>
        <v>165.46950000000001</v>
      </c>
      <c r="Q257" s="65">
        <f t="shared" si="422"/>
        <v>305.23500000000001</v>
      </c>
      <c r="R257" s="132"/>
      <c r="S257" s="170">
        <f t="shared" si="423"/>
        <v>23.975223649999997</v>
      </c>
      <c r="T257" s="169">
        <f t="shared" si="424"/>
        <v>385.16196793724998</v>
      </c>
    </row>
    <row r="258" spans="1:20" s="7" customFormat="1" x14ac:dyDescent="0.25">
      <c r="A258" s="131">
        <f>IF(J258&lt;&gt;"",1+MAX($A$19:A257),"")</f>
        <v>178</v>
      </c>
      <c r="B258" s="53"/>
      <c r="C258" s="53"/>
      <c r="D258" s="106" t="s">
        <v>65</v>
      </c>
      <c r="E258" s="183" t="s">
        <v>107</v>
      </c>
      <c r="F258" s="179" t="s">
        <v>813</v>
      </c>
      <c r="G258" s="123">
        <v>548</v>
      </c>
      <c r="H258" s="55">
        <f>IF(VLOOKUP(J258,'HOURLY RATES'!B$116:C$124,2,0)=0,$J$3,VLOOKUP(J258,'HOURLY RATES'!B$116:C$124,2,0))</f>
        <v>0.05</v>
      </c>
      <c r="I258" s="56">
        <f t="shared" ref="I258" si="432">(G258*(1+H258))</f>
        <v>575.4</v>
      </c>
      <c r="J258" s="105" t="s">
        <v>250</v>
      </c>
      <c r="K258" s="394">
        <v>0.1</v>
      </c>
      <c r="L258" s="63">
        <f t="shared" ref="L258" si="433">K258*I258</f>
        <v>57.54</v>
      </c>
      <c r="M258" s="61">
        <f>IF(VLOOKUP(E258,'HOURLY RATES'!C$6:D$105,2,0)=0,$E$3,VLOOKUP(E258,'HOURLY RATES'!C$6:D$105,2,0))</f>
        <v>60</v>
      </c>
      <c r="N258" s="61">
        <f t="shared" ref="N258" si="434">M258*L258</f>
        <v>3452.4</v>
      </c>
      <c r="O258" s="64">
        <v>4.0199999999999996</v>
      </c>
      <c r="P258" s="64">
        <f t="shared" ref="P258" si="435">O258*I258</f>
        <v>2313.1079999999997</v>
      </c>
      <c r="Q258" s="65">
        <f t="shared" ref="Q258" si="436">P258+N258</f>
        <v>5765.5079999999998</v>
      </c>
      <c r="R258" s="132"/>
      <c r="S258" s="170">
        <f t="shared" ref="S258" si="437">((((N258*(1+$D$7))+(P258*(1+$D$5+$D$6)))*(1+$D$8)))/I258</f>
        <v>12.529559909999998</v>
      </c>
      <c r="T258" s="169">
        <f t="shared" ref="T258" si="438">S258*I258</f>
        <v>7209.5087722139988</v>
      </c>
    </row>
    <row r="259" spans="1:20" s="7" customFormat="1" x14ac:dyDescent="0.25">
      <c r="A259" s="131">
        <f>IF(J259&lt;&gt;"",1+MAX($A$19:A258),"")</f>
        <v>179</v>
      </c>
      <c r="B259" s="53"/>
      <c r="C259" s="53"/>
      <c r="D259" s="106" t="s">
        <v>65</v>
      </c>
      <c r="E259" s="183" t="s">
        <v>107</v>
      </c>
      <c r="F259" s="179" t="s">
        <v>815</v>
      </c>
      <c r="G259" s="123">
        <v>10.15</v>
      </c>
      <c r="H259" s="55">
        <f>IF(VLOOKUP(J259,'HOURLY RATES'!B$116:C$124,2,0)=0,$J$3,VLOOKUP(J259,'HOURLY RATES'!B$116:C$124,2,0))</f>
        <v>0.05</v>
      </c>
      <c r="I259" s="56">
        <f t="shared" ref="I259:I266" si="439">(G259*(1+H259))</f>
        <v>10.657500000000001</v>
      </c>
      <c r="J259" s="105" t="s">
        <v>250</v>
      </c>
      <c r="K259" s="394">
        <v>0.123</v>
      </c>
      <c r="L259" s="63">
        <f t="shared" ref="L259:L261" si="440">K259*I259</f>
        <v>1.3108725000000001</v>
      </c>
      <c r="M259" s="61">
        <f>IF(VLOOKUP(E259,'HOURLY RATES'!C$6:D$105,2,0)=0,$E$3,VLOOKUP(E259,'HOURLY RATES'!C$6:D$105,2,0))</f>
        <v>60</v>
      </c>
      <c r="N259" s="61">
        <f t="shared" ref="N259:N261" si="441">M259*L259</f>
        <v>78.652350000000013</v>
      </c>
      <c r="O259" s="64">
        <v>6.15</v>
      </c>
      <c r="P259" s="64">
        <f t="shared" ref="P259:P261" si="442">O259*I259</f>
        <v>65.543625000000006</v>
      </c>
      <c r="Q259" s="65">
        <f t="shared" ref="Q259:Q261" si="443">P259+N259</f>
        <v>144.19597500000003</v>
      </c>
      <c r="R259" s="132"/>
      <c r="S259" s="170">
        <f t="shared" ref="S259:S261" si="444">((((N259*(1+$D$7))+(P259*(1+$D$5+$D$6)))*(1+$D$8)))/I259</f>
        <v>16.977047324999997</v>
      </c>
      <c r="T259" s="169">
        <f t="shared" ref="T259:T261" si="445">S259*I259</f>
        <v>180.93288186618747</v>
      </c>
    </row>
    <row r="260" spans="1:20" s="7" customFormat="1" x14ac:dyDescent="0.25">
      <c r="A260" s="131" t="str">
        <f>IF(J260&lt;&gt;"",1+MAX($A$19:A259),"")</f>
        <v/>
      </c>
      <c r="B260" s="53"/>
      <c r="C260" s="53"/>
      <c r="D260" s="106"/>
      <c r="E260" s="183"/>
      <c r="F260" s="179"/>
      <c r="G260" s="123"/>
      <c r="H260" s="55"/>
      <c r="I260" s="56"/>
      <c r="J260" s="105"/>
      <c r="K260" s="394"/>
      <c r="L260" s="63"/>
      <c r="M260" s="61"/>
      <c r="N260" s="61"/>
      <c r="O260" s="64"/>
      <c r="P260" s="64"/>
      <c r="Q260" s="65"/>
      <c r="R260" s="132"/>
      <c r="S260" s="170"/>
      <c r="T260" s="169"/>
    </row>
    <row r="261" spans="1:20" s="7" customFormat="1" x14ac:dyDescent="0.25">
      <c r="A261" s="131">
        <f>IF(J261&lt;&gt;"",1+MAX($A$19:A260),"")</f>
        <v>180</v>
      </c>
      <c r="B261" s="53"/>
      <c r="C261" s="53"/>
      <c r="D261" s="106" t="s">
        <v>65</v>
      </c>
      <c r="E261" s="183" t="s">
        <v>107</v>
      </c>
      <c r="F261" s="180" t="s">
        <v>798</v>
      </c>
      <c r="G261" s="123">
        <v>15.07</v>
      </c>
      <c r="H261" s="111">
        <v>0.05</v>
      </c>
      <c r="I261" s="56">
        <f t="shared" si="439"/>
        <v>15.823500000000001</v>
      </c>
      <c r="J261" s="105" t="s">
        <v>250</v>
      </c>
      <c r="K261" s="394">
        <v>6.2E-2</v>
      </c>
      <c r="L261" s="63">
        <f t="shared" si="440"/>
        <v>0.98105700000000007</v>
      </c>
      <c r="M261" s="61">
        <f>IF(VLOOKUP(E261,'HOURLY RATES'!C$6:D$105,2,0)=0,$E$3,VLOOKUP(E261,'HOURLY RATES'!C$6:D$105,2,0))</f>
        <v>60</v>
      </c>
      <c r="N261" s="61">
        <f t="shared" si="441"/>
        <v>58.863420000000005</v>
      </c>
      <c r="O261" s="64">
        <v>1.7</v>
      </c>
      <c r="P261" s="64">
        <f t="shared" si="442"/>
        <v>26.89995</v>
      </c>
      <c r="Q261" s="65">
        <f t="shared" si="443"/>
        <v>85.763370000000009</v>
      </c>
      <c r="R261" s="132"/>
      <c r="S261" s="170">
        <f t="shared" si="444"/>
        <v>6.7390823499999994</v>
      </c>
      <c r="T261" s="169">
        <f t="shared" si="445"/>
        <v>106.63586956522499</v>
      </c>
    </row>
    <row r="262" spans="1:20" s="7" customFormat="1" x14ac:dyDescent="0.25">
      <c r="A262" s="131">
        <f>IF(J262&lt;&gt;"",1+MAX($A$19:A261),"")</f>
        <v>181</v>
      </c>
      <c r="B262" s="108"/>
      <c r="C262" s="109"/>
      <c r="D262" s="106"/>
      <c r="E262" s="184"/>
      <c r="F262" s="181" t="s">
        <v>748</v>
      </c>
      <c r="G262" s="110">
        <f>ROUNDUP(G261*8%,0)</f>
        <v>2</v>
      </c>
      <c r="H262" s="111">
        <v>0</v>
      </c>
      <c r="I262" s="112">
        <f t="shared" si="439"/>
        <v>2</v>
      </c>
      <c r="J262" s="105" t="s">
        <v>251</v>
      </c>
      <c r="K262" s="394"/>
      <c r="L262" s="395"/>
      <c r="M262" s="396"/>
      <c r="N262" s="396"/>
      <c r="O262" s="397"/>
      <c r="P262" s="397"/>
      <c r="Q262" s="398"/>
      <c r="R262" s="132"/>
      <c r="S262" s="170"/>
      <c r="T262" s="169"/>
    </row>
    <row r="263" spans="1:20" s="7" customFormat="1" x14ac:dyDescent="0.25">
      <c r="A263" s="131">
        <f>IF(J263&lt;&gt;"",1+MAX($A$19:A262),"")</f>
        <v>182</v>
      </c>
      <c r="B263" s="108"/>
      <c r="C263" s="109"/>
      <c r="D263" s="106"/>
      <c r="E263" s="184"/>
      <c r="F263" s="181" t="s">
        <v>749</v>
      </c>
      <c r="G263" s="110">
        <f>ROUNDUP(G261/10,0)</f>
        <v>2</v>
      </c>
      <c r="H263" s="111">
        <v>0</v>
      </c>
      <c r="I263" s="112">
        <f t="shared" si="439"/>
        <v>2</v>
      </c>
      <c r="J263" s="105" t="s">
        <v>251</v>
      </c>
      <c r="K263" s="394"/>
      <c r="L263" s="395"/>
      <c r="M263" s="396"/>
      <c r="N263" s="396"/>
      <c r="O263" s="397"/>
      <c r="P263" s="397"/>
      <c r="Q263" s="398"/>
      <c r="R263" s="132"/>
      <c r="S263" s="170"/>
      <c r="T263" s="169"/>
    </row>
    <row r="264" spans="1:20" s="7" customFormat="1" x14ac:dyDescent="0.25">
      <c r="A264" s="131">
        <f>IF(J264&lt;&gt;"",1+MAX($A$19:A263),"")</f>
        <v>183</v>
      </c>
      <c r="B264" s="108"/>
      <c r="C264" s="109"/>
      <c r="D264" s="106"/>
      <c r="E264" s="184"/>
      <c r="F264" s="181" t="s">
        <v>750</v>
      </c>
      <c r="G264" s="110">
        <f>ROUNDUP(G261/9.2,0)+ROUNDUP(G261*4%,0)</f>
        <v>3</v>
      </c>
      <c r="H264" s="111">
        <v>0</v>
      </c>
      <c r="I264" s="112">
        <f t="shared" si="439"/>
        <v>3</v>
      </c>
      <c r="J264" s="105" t="s">
        <v>251</v>
      </c>
      <c r="K264" s="394"/>
      <c r="L264" s="395"/>
      <c r="M264" s="396"/>
      <c r="N264" s="396"/>
      <c r="O264" s="397"/>
      <c r="P264" s="397"/>
      <c r="Q264" s="398"/>
      <c r="R264" s="132"/>
      <c r="S264" s="170"/>
      <c r="T264" s="169"/>
    </row>
    <row r="265" spans="1:20" s="7" customFormat="1" x14ac:dyDescent="0.25">
      <c r="A265" s="131">
        <f>IF(J265&lt;&gt;"",1+MAX($A$19:A264),"")</f>
        <v>184</v>
      </c>
      <c r="B265" s="108"/>
      <c r="C265" s="109"/>
      <c r="D265" s="106"/>
      <c r="E265" s="184"/>
      <c r="F265" s="181" t="s">
        <v>746</v>
      </c>
      <c r="G265" s="110">
        <f>ROUNDUP(G261/9.2,0)+ROUNDUP(G261*9%,0)</f>
        <v>4</v>
      </c>
      <c r="H265" s="111">
        <v>0</v>
      </c>
      <c r="I265" s="112">
        <f t="shared" si="439"/>
        <v>4</v>
      </c>
      <c r="J265" s="105" t="s">
        <v>251</v>
      </c>
      <c r="K265" s="394"/>
      <c r="L265" s="395"/>
      <c r="M265" s="396"/>
      <c r="N265" s="396"/>
      <c r="O265" s="397"/>
      <c r="P265" s="397"/>
      <c r="Q265" s="398"/>
      <c r="R265" s="132"/>
      <c r="S265" s="170"/>
      <c r="T265" s="169"/>
    </row>
    <row r="266" spans="1:20" s="7" customFormat="1" x14ac:dyDescent="0.25">
      <c r="A266" s="131">
        <f>IF(J266&lt;&gt;"",1+MAX($A$19:A265),"")</f>
        <v>185</v>
      </c>
      <c r="B266" s="108"/>
      <c r="C266" s="109"/>
      <c r="D266" s="106"/>
      <c r="E266" s="184"/>
      <c r="F266" s="181" t="s">
        <v>747</v>
      </c>
      <c r="G266" s="110">
        <f>ROUNDUP(G261/9.2,0)+ROUNDUP(G261*9%,0)</f>
        <v>4</v>
      </c>
      <c r="H266" s="111">
        <v>0</v>
      </c>
      <c r="I266" s="112">
        <f t="shared" si="439"/>
        <v>4</v>
      </c>
      <c r="J266" s="105" t="s">
        <v>251</v>
      </c>
      <c r="K266" s="394"/>
      <c r="L266" s="395"/>
      <c r="M266" s="396"/>
      <c r="N266" s="396"/>
      <c r="O266" s="397"/>
      <c r="P266" s="397"/>
      <c r="Q266" s="398"/>
      <c r="R266" s="132"/>
      <c r="S266" s="170"/>
      <c r="T266" s="169"/>
    </row>
    <row r="267" spans="1:20" s="7" customFormat="1" x14ac:dyDescent="0.25">
      <c r="A267" s="131" t="str">
        <f>IF(J267&lt;&gt;"",1+MAX($A$19:A266),"")</f>
        <v/>
      </c>
      <c r="B267" s="108"/>
      <c r="C267" s="109"/>
      <c r="D267" s="106"/>
      <c r="E267" s="184"/>
      <c r="F267" s="181"/>
      <c r="G267" s="110"/>
      <c r="H267" s="111"/>
      <c r="I267" s="112"/>
      <c r="J267" s="105"/>
      <c r="K267" s="394"/>
      <c r="L267" s="395"/>
      <c r="M267" s="396"/>
      <c r="N267" s="396"/>
      <c r="O267" s="397"/>
      <c r="P267" s="397"/>
      <c r="Q267" s="398"/>
      <c r="R267" s="132"/>
      <c r="S267" s="170"/>
      <c r="T267" s="169"/>
    </row>
    <row r="268" spans="1:20" s="7" customFormat="1" x14ac:dyDescent="0.25">
      <c r="A268" s="131">
        <f>IF(J268&lt;&gt;"",1+MAX($A$19:A267),"")</f>
        <v>186</v>
      </c>
      <c r="B268" s="53"/>
      <c r="C268" s="53"/>
      <c r="D268" s="106" t="s">
        <v>65</v>
      </c>
      <c r="E268" s="183" t="s">
        <v>107</v>
      </c>
      <c r="F268" s="180" t="s">
        <v>816</v>
      </c>
      <c r="G268" s="123">
        <v>499.5</v>
      </c>
      <c r="H268" s="111">
        <v>0.05</v>
      </c>
      <c r="I268" s="56">
        <f t="shared" ref="I268" si="446">(G268*(1+H268))</f>
        <v>524.47500000000002</v>
      </c>
      <c r="J268" s="105" t="s">
        <v>250</v>
      </c>
      <c r="K268" s="394">
        <v>8.8999999999999996E-2</v>
      </c>
      <c r="L268" s="63">
        <f t="shared" ref="L268" si="447">K268*I268</f>
        <v>46.678274999999999</v>
      </c>
      <c r="M268" s="61">
        <f>IF(VLOOKUP(E268,'HOURLY RATES'!C$6:D$105,2,0)=0,$E$3,VLOOKUP(E268,'HOURLY RATES'!C$6:D$105,2,0))</f>
        <v>60</v>
      </c>
      <c r="N268" s="61">
        <f t="shared" ref="N268" si="448">M268*L268</f>
        <v>2800.6965</v>
      </c>
      <c r="O268" s="64">
        <v>5.9</v>
      </c>
      <c r="P268" s="64">
        <f t="shared" ref="P268" si="449">O268*I268</f>
        <v>3094.4025000000001</v>
      </c>
      <c r="Q268" s="65">
        <f t="shared" ref="Q268" si="450">P268+N268</f>
        <v>5895.0990000000002</v>
      </c>
      <c r="R268" s="132"/>
      <c r="S268" s="170">
        <f t="shared" ref="S268" si="451">((((N268*(1+$D$7))+(P268*(1+$D$5+$D$6)))*(1+$D$8)))/I268</f>
        <v>14.167603449999996</v>
      </c>
      <c r="T268" s="169">
        <f t="shared" ref="T268" si="452">S268*I268</f>
        <v>7430.5538194387482</v>
      </c>
    </row>
    <row r="269" spans="1:20" s="7" customFormat="1" x14ac:dyDescent="0.25">
      <c r="A269" s="131">
        <f>IF(J269&lt;&gt;"",1+MAX($A$19:A268),"")</f>
        <v>187</v>
      </c>
      <c r="B269" s="108"/>
      <c r="C269" s="109"/>
      <c r="D269" s="106"/>
      <c r="E269" s="184"/>
      <c r="F269" s="181" t="s">
        <v>756</v>
      </c>
      <c r="G269" s="110">
        <f>ROUNDUP(G268*8%,0)</f>
        <v>40</v>
      </c>
      <c r="H269" s="111">
        <v>0</v>
      </c>
      <c r="I269" s="112">
        <f t="shared" ref="I269:I273" si="453">(G269*(1+H269))</f>
        <v>40</v>
      </c>
      <c r="J269" s="105" t="s">
        <v>251</v>
      </c>
      <c r="K269" s="394"/>
      <c r="L269" s="395"/>
      <c r="M269" s="396"/>
      <c r="N269" s="396"/>
      <c r="O269" s="397"/>
      <c r="P269" s="397"/>
      <c r="Q269" s="398"/>
      <c r="R269" s="132"/>
      <c r="S269" s="170"/>
      <c r="T269" s="169"/>
    </row>
    <row r="270" spans="1:20" s="7" customFormat="1" x14ac:dyDescent="0.25">
      <c r="A270" s="131">
        <f>IF(J270&lt;&gt;"",1+MAX($A$19:A269),"")</f>
        <v>188</v>
      </c>
      <c r="B270" s="108"/>
      <c r="C270" s="109"/>
      <c r="D270" s="106"/>
      <c r="E270" s="184"/>
      <c r="F270" s="181" t="s">
        <v>757</v>
      </c>
      <c r="G270" s="110">
        <f>ROUNDUP(G268/10,0)</f>
        <v>50</v>
      </c>
      <c r="H270" s="111">
        <v>0</v>
      </c>
      <c r="I270" s="112">
        <f t="shared" si="453"/>
        <v>50</v>
      </c>
      <c r="J270" s="105" t="s">
        <v>251</v>
      </c>
      <c r="K270" s="394"/>
      <c r="L270" s="395"/>
      <c r="M270" s="396"/>
      <c r="N270" s="396"/>
      <c r="O270" s="397"/>
      <c r="P270" s="397"/>
      <c r="Q270" s="398"/>
      <c r="R270" s="132"/>
      <c r="S270" s="170"/>
      <c r="T270" s="169"/>
    </row>
    <row r="271" spans="1:20" s="7" customFormat="1" x14ac:dyDescent="0.25">
      <c r="A271" s="131">
        <f>IF(J271&lt;&gt;"",1+MAX($A$19:A270),"")</f>
        <v>189</v>
      </c>
      <c r="B271" s="108"/>
      <c r="C271" s="109"/>
      <c r="D271" s="106"/>
      <c r="E271" s="184"/>
      <c r="F271" s="181" t="s">
        <v>758</v>
      </c>
      <c r="G271" s="110">
        <f>ROUNDUP(G268/9.2,0)+ROUNDUP(G268*4%,0)</f>
        <v>75</v>
      </c>
      <c r="H271" s="111">
        <v>0</v>
      </c>
      <c r="I271" s="112">
        <f t="shared" si="453"/>
        <v>75</v>
      </c>
      <c r="J271" s="105" t="s">
        <v>251</v>
      </c>
      <c r="K271" s="394"/>
      <c r="L271" s="395"/>
      <c r="M271" s="396"/>
      <c r="N271" s="396"/>
      <c r="O271" s="397"/>
      <c r="P271" s="397"/>
      <c r="Q271" s="398"/>
      <c r="R271" s="132"/>
      <c r="S271" s="170"/>
      <c r="T271" s="169"/>
    </row>
    <row r="272" spans="1:20" s="7" customFormat="1" x14ac:dyDescent="0.25">
      <c r="A272" s="131">
        <f>IF(J272&lt;&gt;"",1+MAX($A$19:A271),"")</f>
        <v>190</v>
      </c>
      <c r="B272" s="108"/>
      <c r="C272" s="109"/>
      <c r="D272" s="106"/>
      <c r="E272" s="184"/>
      <c r="F272" s="181" t="s">
        <v>746</v>
      </c>
      <c r="G272" s="110">
        <f>ROUNDUP(G268/9.2,0)+ROUNDUP(G268*9%,0)</f>
        <v>100</v>
      </c>
      <c r="H272" s="111">
        <v>0</v>
      </c>
      <c r="I272" s="112">
        <f t="shared" si="453"/>
        <v>100</v>
      </c>
      <c r="J272" s="105" t="s">
        <v>251</v>
      </c>
      <c r="K272" s="394"/>
      <c r="L272" s="395"/>
      <c r="M272" s="396"/>
      <c r="N272" s="396"/>
      <c r="O272" s="397"/>
      <c r="P272" s="397"/>
      <c r="Q272" s="398"/>
      <c r="R272" s="132"/>
      <c r="S272" s="170"/>
      <c r="T272" s="169"/>
    </row>
    <row r="273" spans="1:20" s="7" customFormat="1" x14ac:dyDescent="0.25">
      <c r="A273" s="131">
        <f>IF(J273&lt;&gt;"",1+MAX($A$19:A272),"")</f>
        <v>191</v>
      </c>
      <c r="B273" s="108"/>
      <c r="C273" s="109"/>
      <c r="D273" s="106"/>
      <c r="E273" s="184"/>
      <c r="F273" s="181" t="s">
        <v>747</v>
      </c>
      <c r="G273" s="110">
        <f>ROUNDUP(G268/9.2,0)+ROUNDUP(G268*9%,0)</f>
        <v>100</v>
      </c>
      <c r="H273" s="111">
        <v>0</v>
      </c>
      <c r="I273" s="112">
        <f t="shared" si="453"/>
        <v>100</v>
      </c>
      <c r="J273" s="105" t="s">
        <v>251</v>
      </c>
      <c r="K273" s="394"/>
      <c r="L273" s="395"/>
      <c r="M273" s="396"/>
      <c r="N273" s="396"/>
      <c r="O273" s="397"/>
      <c r="P273" s="397"/>
      <c r="Q273" s="398"/>
      <c r="R273" s="132"/>
      <c r="S273" s="170"/>
      <c r="T273" s="169"/>
    </row>
    <row r="274" spans="1:20" s="7" customFormat="1" x14ac:dyDescent="0.25">
      <c r="A274" s="131" t="str">
        <f>IF(J274&lt;&gt;"",1+MAX($A$19:A273),"")</f>
        <v/>
      </c>
      <c r="B274" s="108"/>
      <c r="C274" s="109"/>
      <c r="D274" s="106"/>
      <c r="E274" s="184"/>
      <c r="F274" s="181" t="s">
        <v>248</v>
      </c>
      <c r="G274" s="110"/>
      <c r="H274" s="111"/>
      <c r="I274" s="112"/>
      <c r="J274" s="105"/>
      <c r="K274" s="394"/>
      <c r="L274" s="395"/>
      <c r="M274" s="396"/>
      <c r="N274" s="396"/>
      <c r="O274" s="397"/>
      <c r="P274" s="397"/>
      <c r="Q274" s="398"/>
      <c r="R274" s="132"/>
      <c r="S274" s="170"/>
      <c r="T274" s="169"/>
    </row>
    <row r="275" spans="1:20" s="7" customFormat="1" ht="18" x14ac:dyDescent="0.25">
      <c r="A275" s="131" t="str">
        <f>IF(J275&lt;&gt;"",1+MAX($A$19:A274),"")</f>
        <v/>
      </c>
      <c r="B275" s="53"/>
      <c r="C275" s="66"/>
      <c r="D275" s="106"/>
      <c r="E275" s="183"/>
      <c r="F275" s="178" t="s">
        <v>818</v>
      </c>
      <c r="G275" s="54"/>
      <c r="H275" s="55"/>
      <c r="I275" s="56"/>
      <c r="J275" s="105"/>
      <c r="K275" s="394"/>
      <c r="L275" s="63"/>
      <c r="M275" s="61"/>
      <c r="N275" s="61"/>
      <c r="O275" s="64"/>
      <c r="P275" s="64"/>
      <c r="Q275" s="65"/>
      <c r="R275" s="132"/>
      <c r="S275" s="170"/>
      <c r="T275" s="169"/>
    </row>
    <row r="276" spans="1:20" s="7" customFormat="1" x14ac:dyDescent="0.25">
      <c r="A276" s="131">
        <f>IF(J276&lt;&gt;"",1+MAX($A$19:A275),"")</f>
        <v>192</v>
      </c>
      <c r="B276" s="53"/>
      <c r="C276" s="53"/>
      <c r="D276" s="106" t="s">
        <v>65</v>
      </c>
      <c r="E276" s="183" t="s">
        <v>107</v>
      </c>
      <c r="F276" s="179" t="s">
        <v>819</v>
      </c>
      <c r="G276" s="123">
        <v>5.19</v>
      </c>
      <c r="H276" s="55">
        <f>IF(VLOOKUP(J276,'HOURLY RATES'!B$116:C$124,2,0)=0,$J$3,VLOOKUP(J276,'HOURLY RATES'!B$116:C$124,2,0))</f>
        <v>0.05</v>
      </c>
      <c r="I276" s="56">
        <f t="shared" ref="I276" si="454">(G276*(1+H276))</f>
        <v>5.4495000000000005</v>
      </c>
      <c r="J276" s="105" t="s">
        <v>250</v>
      </c>
      <c r="K276" s="394">
        <v>0.35</v>
      </c>
      <c r="L276" s="63">
        <f t="shared" ref="L276" si="455">K276*I276</f>
        <v>1.9073249999999999</v>
      </c>
      <c r="M276" s="61">
        <f>IF(VLOOKUP(E276,'HOURLY RATES'!C$6:D$105,2,0)=0,$E$3,VLOOKUP(E276,'HOURLY RATES'!C$6:D$105,2,0))</f>
        <v>60</v>
      </c>
      <c r="N276" s="61">
        <f t="shared" ref="N276" si="456">M276*L276</f>
        <v>114.4395</v>
      </c>
      <c r="O276" s="64">
        <v>18</v>
      </c>
      <c r="P276" s="64">
        <f t="shared" ref="P276" si="457">O276*I276</f>
        <v>98.091000000000008</v>
      </c>
      <c r="Q276" s="65">
        <f t="shared" ref="Q276" si="458">P276+N276</f>
        <v>212.53050000000002</v>
      </c>
      <c r="R276" s="132"/>
      <c r="S276" s="170">
        <f t="shared" ref="S276" si="459">((((N276*(1+$D$7))+(P276*(1+$D$5+$D$6)))*(1+$D$8)))/I276</f>
        <v>48.958118999999989</v>
      </c>
      <c r="T276" s="169">
        <f t="shared" ref="T276" si="460">S276*I276</f>
        <v>266.79726949049996</v>
      </c>
    </row>
    <row r="277" spans="1:20" s="7" customFormat="1" x14ac:dyDescent="0.25">
      <c r="A277" s="131">
        <f>IF(J277&lt;&gt;"",1+MAX($A$19:A276),"")</f>
        <v>193</v>
      </c>
      <c r="B277" s="53"/>
      <c r="C277" s="53"/>
      <c r="D277" s="106" t="s">
        <v>65</v>
      </c>
      <c r="E277" s="183" t="s">
        <v>107</v>
      </c>
      <c r="F277" s="179" t="s">
        <v>820</v>
      </c>
      <c r="G277" s="123">
        <v>10</v>
      </c>
      <c r="H277" s="55">
        <f>IF(VLOOKUP(J277,'HOURLY RATES'!B$116:C$124,2,0)=0,$J$3,VLOOKUP(J277,'HOURLY RATES'!B$116:C$124,2,0))</f>
        <v>0.05</v>
      </c>
      <c r="I277" s="56">
        <f>(G277*(1+H277))</f>
        <v>10.5</v>
      </c>
      <c r="J277" s="105" t="s">
        <v>250</v>
      </c>
      <c r="K277" s="394">
        <v>0.28000000000000003</v>
      </c>
      <c r="L277" s="63">
        <f>K277*I277</f>
        <v>2.9400000000000004</v>
      </c>
      <c r="M277" s="61">
        <f>IF(VLOOKUP(E277,'HOURLY RATES'!C$6:D$105,2,0)=0,$E$3,VLOOKUP(E277,'HOURLY RATES'!C$6:D$105,2,0))</f>
        <v>60</v>
      </c>
      <c r="N277" s="61">
        <f>M277*L277</f>
        <v>176.40000000000003</v>
      </c>
      <c r="O277" s="64">
        <v>15</v>
      </c>
      <c r="P277" s="64">
        <f>O277*I277</f>
        <v>157.5</v>
      </c>
      <c r="Q277" s="65">
        <f>P277+N277</f>
        <v>333.90000000000003</v>
      </c>
      <c r="R277" s="132"/>
      <c r="S277" s="170">
        <f>((((N277*(1+$D$7))+(P277*(1+$D$5+$D$6)))*(1+$D$8)))/I277</f>
        <v>39.945832499999995</v>
      </c>
      <c r="T277" s="169">
        <f>S277*I277</f>
        <v>419.43124124999997</v>
      </c>
    </row>
    <row r="278" spans="1:20" s="7" customFormat="1" x14ac:dyDescent="0.25">
      <c r="A278" s="131">
        <f>IF(J278&lt;&gt;"",1+MAX($A$19:A277),"")</f>
        <v>194</v>
      </c>
      <c r="B278" s="53"/>
      <c r="C278" s="53"/>
      <c r="D278" s="106" t="s">
        <v>65</v>
      </c>
      <c r="E278" s="183" t="s">
        <v>107</v>
      </c>
      <c r="F278" s="179" t="s">
        <v>821</v>
      </c>
      <c r="G278" s="123">
        <v>57.86</v>
      </c>
      <c r="H278" s="55">
        <f>IF(VLOOKUP(J278,'HOURLY RATES'!B$116:C$124,2,0)=0,$J$3,VLOOKUP(J278,'HOURLY RATES'!B$116:C$124,2,0))</f>
        <v>0.05</v>
      </c>
      <c r="I278" s="56">
        <f t="shared" ref="I278:I280" si="461">(G278*(1+H278))</f>
        <v>60.753</v>
      </c>
      <c r="J278" s="105" t="s">
        <v>250</v>
      </c>
      <c r="K278" s="394">
        <v>0.42</v>
      </c>
      <c r="L278" s="63">
        <f t="shared" ref="L278:L280" si="462">K278*I278</f>
        <v>25.516259999999999</v>
      </c>
      <c r="M278" s="61">
        <f>IF(VLOOKUP(E278,'HOURLY RATES'!C$6:D$105,2,0)=0,$E$3,VLOOKUP(E278,'HOURLY RATES'!C$6:D$105,2,0))</f>
        <v>60</v>
      </c>
      <c r="N278" s="61">
        <f t="shared" ref="N278:N280" si="463">M278*L278</f>
        <v>1530.9756</v>
      </c>
      <c r="O278" s="64">
        <v>22</v>
      </c>
      <c r="P278" s="64">
        <f t="shared" ref="P278:P280" si="464">O278*I278</f>
        <v>1336.566</v>
      </c>
      <c r="Q278" s="65">
        <f t="shared" ref="Q278:Q280" si="465">P278+N278</f>
        <v>2867.5416</v>
      </c>
      <c r="R278" s="132"/>
      <c r="S278" s="170">
        <f t="shared" ref="S278:S280" si="466">((((N278*(1+$D$7))+(P278*(1+$D$5+$D$6)))*(1+$D$8)))/I278</f>
        <v>59.269300999999992</v>
      </c>
      <c r="T278" s="169">
        <f t="shared" ref="T278:T280" si="467">S278*I278</f>
        <v>3600.7878436529995</v>
      </c>
    </row>
    <row r="279" spans="1:20" s="7" customFormat="1" x14ac:dyDescent="0.25">
      <c r="A279" s="131">
        <f>IF(J279&lt;&gt;"",1+MAX($A$19:A278),"")</f>
        <v>195</v>
      </c>
      <c r="B279" s="53"/>
      <c r="C279" s="53"/>
      <c r="D279" s="106" t="s">
        <v>65</v>
      </c>
      <c r="E279" s="183" t="s">
        <v>107</v>
      </c>
      <c r="F279" s="179" t="s">
        <v>806</v>
      </c>
      <c r="G279" s="123">
        <v>90</v>
      </c>
      <c r="H279" s="55">
        <f>IF(VLOOKUP(J279,'HOURLY RATES'!B$116:C$124,2,0)=0,$J$3,VLOOKUP(J279,'HOURLY RATES'!B$116:C$124,2,0))</f>
        <v>0.05</v>
      </c>
      <c r="I279" s="56">
        <f t="shared" si="461"/>
        <v>94.5</v>
      </c>
      <c r="J279" s="105" t="s">
        <v>250</v>
      </c>
      <c r="K279" s="394">
        <v>0.18</v>
      </c>
      <c r="L279" s="63">
        <f t="shared" si="462"/>
        <v>17.009999999999998</v>
      </c>
      <c r="M279" s="61">
        <f>IF(VLOOKUP(E279,'HOURLY RATES'!C$6:D$105,2,0)=0,$E$3,VLOOKUP(E279,'HOURLY RATES'!C$6:D$105,2,0))</f>
        <v>60</v>
      </c>
      <c r="N279" s="61">
        <f t="shared" si="463"/>
        <v>1020.5999999999999</v>
      </c>
      <c r="O279" s="64">
        <v>8.5</v>
      </c>
      <c r="P279" s="64">
        <f t="shared" si="464"/>
        <v>803.25</v>
      </c>
      <c r="Q279" s="65">
        <f t="shared" si="465"/>
        <v>1823.85</v>
      </c>
      <c r="R279" s="132"/>
      <c r="S279" s="170">
        <f t="shared" si="466"/>
        <v>24.195011749999992</v>
      </c>
      <c r="T279" s="169">
        <f t="shared" si="467"/>
        <v>2286.4286103749992</v>
      </c>
    </row>
    <row r="280" spans="1:20" s="7" customFormat="1" x14ac:dyDescent="0.25">
      <c r="A280" s="131">
        <f>IF(J280&lt;&gt;"",1+MAX($A$19:A279),"")</f>
        <v>196</v>
      </c>
      <c r="B280" s="53"/>
      <c r="C280" s="53"/>
      <c r="D280" s="106" t="s">
        <v>65</v>
      </c>
      <c r="E280" s="183" t="s">
        <v>107</v>
      </c>
      <c r="F280" s="179" t="s">
        <v>822</v>
      </c>
      <c r="G280" s="123">
        <v>140</v>
      </c>
      <c r="H280" s="55">
        <f>IF(VLOOKUP(J280,'HOURLY RATES'!B$116:C$124,2,0)=0,$J$3,VLOOKUP(J280,'HOURLY RATES'!B$116:C$124,2,0))</f>
        <v>0.05</v>
      </c>
      <c r="I280" s="56">
        <f t="shared" si="461"/>
        <v>147</v>
      </c>
      <c r="J280" s="105" t="s">
        <v>250</v>
      </c>
      <c r="K280" s="394">
        <v>0.55000000000000004</v>
      </c>
      <c r="L280" s="63">
        <f t="shared" si="462"/>
        <v>80.850000000000009</v>
      </c>
      <c r="M280" s="61">
        <f>IF(VLOOKUP(E280,'HOURLY RATES'!C$6:D$105,2,0)=0,$E$3,VLOOKUP(E280,'HOURLY RATES'!C$6:D$105,2,0))</f>
        <v>60</v>
      </c>
      <c r="N280" s="61">
        <f t="shared" si="463"/>
        <v>4851.0000000000009</v>
      </c>
      <c r="O280" s="64">
        <v>45</v>
      </c>
      <c r="P280" s="64">
        <f t="shared" si="464"/>
        <v>6615</v>
      </c>
      <c r="Q280" s="65">
        <f t="shared" si="465"/>
        <v>11466</v>
      </c>
      <c r="R280" s="132"/>
      <c r="S280" s="170">
        <f t="shared" si="466"/>
        <v>98.644297499999993</v>
      </c>
      <c r="T280" s="169">
        <f t="shared" si="467"/>
        <v>14500.7117325</v>
      </c>
    </row>
    <row r="281" spans="1:20" s="7" customFormat="1" x14ac:dyDescent="0.25">
      <c r="A281" s="131">
        <f>IF(J281&lt;&gt;"",1+MAX($A$19:A280),"")</f>
        <v>197</v>
      </c>
      <c r="B281" s="53"/>
      <c r="C281" s="53"/>
      <c r="D281" s="106" t="s">
        <v>65</v>
      </c>
      <c r="E281" s="183" t="s">
        <v>107</v>
      </c>
      <c r="F281" s="179" t="s">
        <v>823</v>
      </c>
      <c r="G281" s="123">
        <v>421</v>
      </c>
      <c r="H281" s="55">
        <f>IF(VLOOKUP(J281,'HOURLY RATES'!B$116:C$124,2,0)=0,$J$3,VLOOKUP(J281,'HOURLY RATES'!B$116:C$124,2,0))</f>
        <v>0.05</v>
      </c>
      <c r="I281" s="56">
        <f>(G281*(1+H281))</f>
        <v>442.05</v>
      </c>
      <c r="J281" s="105" t="s">
        <v>250</v>
      </c>
      <c r="K281" s="394">
        <v>0.5</v>
      </c>
      <c r="L281" s="63">
        <f>K281*I281</f>
        <v>221.02500000000001</v>
      </c>
      <c r="M281" s="61">
        <f>IF(VLOOKUP(E281,'HOURLY RATES'!C$6:D$105,2,0)=0,$E$3,VLOOKUP(E281,'HOURLY RATES'!C$6:D$105,2,0))</f>
        <v>60</v>
      </c>
      <c r="N281" s="61">
        <f>M281*L281</f>
        <v>13261.5</v>
      </c>
      <c r="O281" s="64">
        <v>38</v>
      </c>
      <c r="P281" s="64">
        <f>O281*I281</f>
        <v>16797.900000000001</v>
      </c>
      <c r="Q281" s="65">
        <f>P281+N281</f>
        <v>30059.4</v>
      </c>
      <c r="R281" s="132"/>
      <c r="S281" s="170">
        <f>((((N281*(1+$D$7))+(P281*(1+$D$5+$D$6)))*(1+$D$8)))/I281</f>
        <v>85.89802899999998</v>
      </c>
      <c r="T281" s="169">
        <f>S281*I281</f>
        <v>37971.22371944999</v>
      </c>
    </row>
    <row r="282" spans="1:20" s="7" customFormat="1" x14ac:dyDescent="0.25">
      <c r="A282" s="131">
        <f>IF(J282&lt;&gt;"",1+MAX($A$19:A281),"")</f>
        <v>198</v>
      </c>
      <c r="B282" s="53"/>
      <c r="C282" s="53"/>
      <c r="D282" s="106" t="s">
        <v>65</v>
      </c>
      <c r="E282" s="183" t="s">
        <v>107</v>
      </c>
      <c r="F282" s="179" t="s">
        <v>824</v>
      </c>
      <c r="G282" s="123">
        <v>157</v>
      </c>
      <c r="H282" s="55">
        <f>IF(VLOOKUP(J282,'HOURLY RATES'!B$116:C$124,2,0)=0,$J$3,VLOOKUP(J282,'HOURLY RATES'!B$116:C$124,2,0))</f>
        <v>0.05</v>
      </c>
      <c r="I282" s="56">
        <f t="shared" ref="I282:I283" si="468">(G282*(1+H282))</f>
        <v>164.85</v>
      </c>
      <c r="J282" s="105" t="s">
        <v>250</v>
      </c>
      <c r="K282" s="394">
        <v>0.68</v>
      </c>
      <c r="L282" s="63">
        <f t="shared" ref="L282:L283" si="469">K282*I282</f>
        <v>112.098</v>
      </c>
      <c r="M282" s="61">
        <f>IF(VLOOKUP(E282,'HOURLY RATES'!C$6:D$105,2,0)=0,$E$3,VLOOKUP(E282,'HOURLY RATES'!C$6:D$105,2,0))</f>
        <v>60</v>
      </c>
      <c r="N282" s="61">
        <f t="shared" ref="N282:N283" si="470">M282*L282</f>
        <v>6725.88</v>
      </c>
      <c r="O282" s="64">
        <v>72</v>
      </c>
      <c r="P282" s="64">
        <f t="shared" ref="P282:P283" si="471">O282*I282</f>
        <v>11869.199999999999</v>
      </c>
      <c r="Q282" s="65">
        <f t="shared" ref="Q282:Q283" si="472">P282+N282</f>
        <v>18595.079999999998</v>
      </c>
      <c r="R282" s="132"/>
      <c r="S282" s="170">
        <f t="shared" ref="S282:S283" si="473">((((N282*(1+$D$7))+(P282*(1+$D$5+$D$6)))*(1+$D$8)))/I282</f>
        <v>143.21487599999998</v>
      </c>
      <c r="T282" s="169">
        <f t="shared" ref="T282:T283" si="474">S282*I282</f>
        <v>23608.972308599994</v>
      </c>
    </row>
    <row r="283" spans="1:20" s="7" customFormat="1" x14ac:dyDescent="0.25">
      <c r="A283" s="131">
        <f>IF(J283&lt;&gt;"",1+MAX($A$19:A282),"")</f>
        <v>199</v>
      </c>
      <c r="B283" s="53"/>
      <c r="C283" s="53"/>
      <c r="D283" s="106" t="s">
        <v>65</v>
      </c>
      <c r="E283" s="183" t="s">
        <v>107</v>
      </c>
      <c r="F283" s="179" t="s">
        <v>825</v>
      </c>
      <c r="G283" s="123">
        <v>810</v>
      </c>
      <c r="H283" s="55">
        <f>IF(VLOOKUP(J283,'HOURLY RATES'!B$116:C$124,2,0)=0,$J$3,VLOOKUP(J283,'HOURLY RATES'!B$116:C$124,2,0))</f>
        <v>0.05</v>
      </c>
      <c r="I283" s="56">
        <f t="shared" si="468"/>
        <v>850.5</v>
      </c>
      <c r="J283" s="105" t="s">
        <v>250</v>
      </c>
      <c r="K283" s="394">
        <v>0.8</v>
      </c>
      <c r="L283" s="63">
        <f t="shared" si="469"/>
        <v>680.40000000000009</v>
      </c>
      <c r="M283" s="61">
        <f>IF(VLOOKUP(E283,'HOURLY RATES'!C$6:D$105,2,0)=0,$E$3,VLOOKUP(E283,'HOURLY RATES'!C$6:D$105,2,0))</f>
        <v>60</v>
      </c>
      <c r="N283" s="61">
        <f t="shared" si="470"/>
        <v>40824.000000000007</v>
      </c>
      <c r="O283" s="64">
        <v>95</v>
      </c>
      <c r="P283" s="64">
        <f t="shared" si="471"/>
        <v>80797.5</v>
      </c>
      <c r="Q283" s="65">
        <f t="shared" si="472"/>
        <v>121621.5</v>
      </c>
      <c r="R283" s="132"/>
      <c r="S283" s="170">
        <f t="shared" si="473"/>
        <v>181.85907249999997</v>
      </c>
      <c r="T283" s="169">
        <f t="shared" si="474"/>
        <v>154671.14116124998</v>
      </c>
    </row>
    <row r="284" spans="1:20" s="7" customFormat="1" x14ac:dyDescent="0.25">
      <c r="A284" s="131" t="str">
        <f>IF(J284&lt;&gt;"",1+MAX($A$19:A283),"")</f>
        <v/>
      </c>
      <c r="B284" s="53"/>
      <c r="C284" s="53"/>
      <c r="D284" s="106"/>
      <c r="E284" s="183"/>
      <c r="F284" s="179"/>
      <c r="G284" s="123"/>
      <c r="H284" s="55"/>
      <c r="I284" s="56"/>
      <c r="J284" s="105"/>
      <c r="K284" s="394"/>
      <c r="L284" s="63"/>
      <c r="M284" s="61"/>
      <c r="N284" s="61"/>
      <c r="O284" s="64"/>
      <c r="P284" s="64"/>
      <c r="Q284" s="65"/>
      <c r="R284" s="132"/>
      <c r="S284" s="170"/>
      <c r="T284" s="169"/>
    </row>
    <row r="285" spans="1:20" s="7" customFormat="1" x14ac:dyDescent="0.25">
      <c r="A285" s="131">
        <f>IF(J285&lt;&gt;"",1+MAX($A$19:A284),"")</f>
        <v>200</v>
      </c>
      <c r="B285" s="53"/>
      <c r="C285" s="53"/>
      <c r="D285" s="106" t="s">
        <v>65</v>
      </c>
      <c r="E285" s="183" t="s">
        <v>107</v>
      </c>
      <c r="F285" s="179" t="s">
        <v>808</v>
      </c>
      <c r="G285" s="123">
        <v>128</v>
      </c>
      <c r="H285" s="55">
        <f>IF(VLOOKUP(J285,'HOURLY RATES'!B$116:C$124,2,0)=0,$J$3,VLOOKUP(J285,'HOURLY RATES'!B$116:C$124,2,0))</f>
        <v>0.05</v>
      </c>
      <c r="I285" s="56">
        <f t="shared" ref="I285:I294" si="475">(G285*(1+H285))</f>
        <v>134.4</v>
      </c>
      <c r="J285" s="105" t="s">
        <v>250</v>
      </c>
      <c r="K285" s="394">
        <v>0.04</v>
      </c>
      <c r="L285" s="63">
        <f t="shared" ref="L285:L286" si="476">K285*I285</f>
        <v>5.3760000000000003</v>
      </c>
      <c r="M285" s="61">
        <f>IF(VLOOKUP(E285,'HOURLY RATES'!C$6:D$105,2,0)=0,$E$3,VLOOKUP(E285,'HOURLY RATES'!C$6:D$105,2,0))</f>
        <v>60</v>
      </c>
      <c r="N285" s="61">
        <f t="shared" ref="N285:N286" si="477">M285*L285</f>
        <v>322.56</v>
      </c>
      <c r="O285" s="64">
        <v>1.8</v>
      </c>
      <c r="P285" s="64">
        <f t="shared" ref="P285:P294" si="478">O285*I285</f>
        <v>241.92000000000002</v>
      </c>
      <c r="Q285" s="65">
        <f t="shared" ref="Q285:Q294" si="479">P285+N285</f>
        <v>564.48</v>
      </c>
      <c r="R285" s="132"/>
      <c r="S285" s="170">
        <f t="shared" ref="S285:S294" si="480">((((N285*(1+$D$7))+(P285*(1+$D$5+$D$6)))*(1+$D$8)))/I285</f>
        <v>5.2612118999999993</v>
      </c>
      <c r="T285" s="169">
        <f t="shared" ref="T285:T294" si="481">S285*I285</f>
        <v>707.10687935999988</v>
      </c>
    </row>
    <row r="286" spans="1:20" s="7" customFormat="1" x14ac:dyDescent="0.25">
      <c r="A286" s="131">
        <f>IF(J286&lt;&gt;"",1+MAX($A$19:A285),"")</f>
        <v>201</v>
      </c>
      <c r="B286" s="53"/>
      <c r="C286" s="53"/>
      <c r="D286" s="106" t="s">
        <v>65</v>
      </c>
      <c r="E286" s="183" t="s">
        <v>107</v>
      </c>
      <c r="F286" s="179" t="s">
        <v>831</v>
      </c>
      <c r="G286" s="123">
        <v>34.729999999999997</v>
      </c>
      <c r="H286" s="55">
        <f>IF(VLOOKUP(J286,'HOURLY RATES'!B$116:C$124,2,0)=0,$J$3,VLOOKUP(J286,'HOURLY RATES'!B$116:C$124,2,0))</f>
        <v>0.05</v>
      </c>
      <c r="I286" s="56">
        <f>(G286*(1+H286))</f>
        <v>36.466499999999996</v>
      </c>
      <c r="J286" s="105" t="s">
        <v>250</v>
      </c>
      <c r="K286" s="394">
        <v>0.03</v>
      </c>
      <c r="L286" s="63">
        <f t="shared" si="476"/>
        <v>1.0939949999999998</v>
      </c>
      <c r="M286" s="61">
        <f>IF(VLOOKUP(E286,'HOURLY RATES'!C$6:D$105,2,0)=0,$E$3,VLOOKUP(E286,'HOURLY RATES'!C$6:D$105,2,0))</f>
        <v>60</v>
      </c>
      <c r="N286" s="61">
        <f t="shared" si="477"/>
        <v>65.639699999999991</v>
      </c>
      <c r="O286" s="64">
        <v>1.25</v>
      </c>
      <c r="P286" s="64">
        <f>O286*I286</f>
        <v>45.583124999999995</v>
      </c>
      <c r="Q286" s="65">
        <f>P286+N286</f>
        <v>111.22282499999999</v>
      </c>
      <c r="R286" s="132"/>
      <c r="S286" s="170">
        <f>((((N286*(1+$D$7))+(P286*(1+$D$5+$D$6)))*(1+$D$8)))/I286</f>
        <v>3.8160193749999993</v>
      </c>
      <c r="T286" s="169">
        <f>S286*I286</f>
        <v>139.15687053843746</v>
      </c>
    </row>
    <row r="287" spans="1:20" s="7" customFormat="1" x14ac:dyDescent="0.25">
      <c r="A287" s="131">
        <f>IF(J287&lt;&gt;"",1+MAX($A$19:A286),"")</f>
        <v>202</v>
      </c>
      <c r="B287" s="53"/>
      <c r="C287" s="53"/>
      <c r="D287" s="106" t="s">
        <v>65</v>
      </c>
      <c r="E287" s="183" t="s">
        <v>107</v>
      </c>
      <c r="F287" s="179" t="s">
        <v>829</v>
      </c>
      <c r="G287" s="123">
        <v>616</v>
      </c>
      <c r="H287" s="55">
        <f>IF(VLOOKUP(J287,'HOURLY RATES'!B$116:C$124,2,0)=0,$J$3,VLOOKUP(J287,'HOURLY RATES'!B$116:C$124,2,0))</f>
        <v>0.05</v>
      </c>
      <c r="I287" s="56">
        <f>(G287*(1+H287))</f>
        <v>646.80000000000007</v>
      </c>
      <c r="J287" s="105" t="s">
        <v>250</v>
      </c>
      <c r="K287" s="394">
        <v>7.0000000000000007E-2</v>
      </c>
      <c r="L287" s="63">
        <f>K287*I287</f>
        <v>45.27600000000001</v>
      </c>
      <c r="M287" s="61">
        <f>IF(VLOOKUP(E287,'HOURLY RATES'!C$6:D$105,2,0)=0,$E$3,VLOOKUP(E287,'HOURLY RATES'!C$6:D$105,2,0))</f>
        <v>60</v>
      </c>
      <c r="N287" s="61">
        <f>M287*L287</f>
        <v>2716.5600000000004</v>
      </c>
      <c r="O287" s="64">
        <v>5.5</v>
      </c>
      <c r="P287" s="64">
        <f>O287*I287</f>
        <v>3557.4000000000005</v>
      </c>
      <c r="Q287" s="65">
        <f>P287+N287</f>
        <v>6273.9600000000009</v>
      </c>
      <c r="R287" s="132"/>
      <c r="S287" s="170">
        <f>((((N287*(1+$D$7))+(P287*(1+$D$5+$D$6)))*(1+$D$8)))/I287</f>
        <v>12.259525249999998</v>
      </c>
      <c r="T287" s="169">
        <f>S287*I287</f>
        <v>7929.4609316999995</v>
      </c>
    </row>
    <row r="288" spans="1:20" s="7" customFormat="1" x14ac:dyDescent="0.25">
      <c r="A288" s="131">
        <f>IF(J288&lt;&gt;"",1+MAX($A$19:A287),"")</f>
        <v>203</v>
      </c>
      <c r="B288" s="53"/>
      <c r="C288" s="53"/>
      <c r="D288" s="106" t="s">
        <v>65</v>
      </c>
      <c r="E288" s="183" t="s">
        <v>107</v>
      </c>
      <c r="F288" s="179" t="s">
        <v>827</v>
      </c>
      <c r="G288" s="123">
        <v>296</v>
      </c>
      <c r="H288" s="55">
        <f>IF(VLOOKUP(J288,'HOURLY RATES'!B$116:C$124,2,0)=0,$J$3,VLOOKUP(J288,'HOURLY RATES'!B$116:C$124,2,0))</f>
        <v>0.05</v>
      </c>
      <c r="I288" s="56">
        <f>(G288*(1+H288))</f>
        <v>310.8</v>
      </c>
      <c r="J288" s="105" t="s">
        <v>250</v>
      </c>
      <c r="K288" s="394">
        <v>5.5E-2</v>
      </c>
      <c r="L288" s="63">
        <f>K288*I288</f>
        <v>17.094000000000001</v>
      </c>
      <c r="M288" s="61">
        <f>IF(VLOOKUP(E288,'HOURLY RATES'!C$6:D$105,2,0)=0,$E$3,VLOOKUP(E288,'HOURLY RATES'!C$6:D$105,2,0))</f>
        <v>60</v>
      </c>
      <c r="N288" s="61">
        <f>M288*L288</f>
        <v>1025.6400000000001</v>
      </c>
      <c r="O288" s="64">
        <v>4.7300000000000004</v>
      </c>
      <c r="P288" s="64">
        <f>O288*I288</f>
        <v>1470.0840000000003</v>
      </c>
      <c r="Q288" s="65">
        <f>P288+N288</f>
        <v>2495.7240000000002</v>
      </c>
      <c r="R288" s="132"/>
      <c r="S288" s="170">
        <f>((((N288*(1+$D$7))+(P288*(1+$D$5+$D$6)))*(1+$D$8)))/I288</f>
        <v>10.163175714999999</v>
      </c>
      <c r="T288" s="169">
        <f>S288*I288</f>
        <v>3158.715012222</v>
      </c>
    </row>
    <row r="289" spans="1:20" s="7" customFormat="1" x14ac:dyDescent="0.25">
      <c r="A289" s="131">
        <f>IF(J289&lt;&gt;"",1+MAX($A$19:A288),"")</f>
        <v>204</v>
      </c>
      <c r="B289" s="53"/>
      <c r="C289" s="53"/>
      <c r="D289" s="106" t="s">
        <v>65</v>
      </c>
      <c r="E289" s="183" t="s">
        <v>107</v>
      </c>
      <c r="F289" s="179" t="s">
        <v>826</v>
      </c>
      <c r="G289" s="123">
        <v>161</v>
      </c>
      <c r="H289" s="55">
        <f>IF(VLOOKUP(J289,'HOURLY RATES'!B$116:C$124,2,0)=0,$J$3,VLOOKUP(J289,'HOURLY RATES'!B$116:C$124,2,0))</f>
        <v>0.05</v>
      </c>
      <c r="I289" s="56">
        <f>(G289*(1+H289))</f>
        <v>169.05</v>
      </c>
      <c r="J289" s="105" t="s">
        <v>250</v>
      </c>
      <c r="K289" s="394">
        <v>0.05</v>
      </c>
      <c r="L289" s="63">
        <f>K289*I289</f>
        <v>8.4525000000000006</v>
      </c>
      <c r="M289" s="61">
        <f>IF(VLOOKUP(E289,'HOURLY RATES'!C$6:D$105,2,0)=0,$E$3,VLOOKUP(E289,'HOURLY RATES'!C$6:D$105,2,0))</f>
        <v>60</v>
      </c>
      <c r="N289" s="61">
        <f>M289*L289</f>
        <v>507.15000000000003</v>
      </c>
      <c r="O289" s="64">
        <v>2.94</v>
      </c>
      <c r="P289" s="64">
        <f>O289*I289</f>
        <v>497.00700000000001</v>
      </c>
      <c r="Q289" s="65">
        <f>P289+N289</f>
        <v>1004.157</v>
      </c>
      <c r="R289" s="132"/>
      <c r="S289" s="170">
        <f>((((N289*(1+$D$7))+(P289*(1+$D$5+$D$6)))*(1+$D$8)))/I289</f>
        <v>7.4727527699999987</v>
      </c>
      <c r="T289" s="169">
        <f>S289*I289</f>
        <v>1263.2688557684999</v>
      </c>
    </row>
    <row r="290" spans="1:20" s="7" customFormat="1" x14ac:dyDescent="0.25">
      <c r="A290" s="131">
        <f>IF(J290&lt;&gt;"",1+MAX($A$19:A289),"")</f>
        <v>205</v>
      </c>
      <c r="B290" s="53"/>
      <c r="C290" s="53"/>
      <c r="D290" s="106" t="s">
        <v>65</v>
      </c>
      <c r="E290" s="183" t="s">
        <v>107</v>
      </c>
      <c r="F290" s="179" t="s">
        <v>807</v>
      </c>
      <c r="G290" s="123">
        <v>35</v>
      </c>
      <c r="H290" s="55">
        <f>IF(VLOOKUP(J290,'HOURLY RATES'!B$116:C$124,2,0)=0,$J$3,VLOOKUP(J290,'HOURLY RATES'!B$116:C$124,2,0))</f>
        <v>0.05</v>
      </c>
      <c r="I290" s="56">
        <f t="shared" si="475"/>
        <v>36.75</v>
      </c>
      <c r="J290" s="105" t="s">
        <v>250</v>
      </c>
      <c r="K290" s="394">
        <v>0.14499999999999999</v>
      </c>
      <c r="L290" s="63">
        <f t="shared" ref="L290:L294" si="482">K290*I290</f>
        <v>5.3287499999999994</v>
      </c>
      <c r="M290" s="61">
        <f>IF(VLOOKUP(E290,'HOURLY RATES'!C$6:D$105,2,0)=0,$E$3,VLOOKUP(E290,'HOURLY RATES'!C$6:D$105,2,0))</f>
        <v>60</v>
      </c>
      <c r="N290" s="61">
        <f t="shared" ref="N290:N294" si="483">M290*L290</f>
        <v>319.72499999999997</v>
      </c>
      <c r="O290" s="64">
        <v>10.3</v>
      </c>
      <c r="P290" s="64">
        <f t="shared" si="478"/>
        <v>378.52500000000003</v>
      </c>
      <c r="Q290" s="65">
        <f t="shared" si="479"/>
        <v>698.25</v>
      </c>
      <c r="R290" s="132"/>
      <c r="S290" s="170">
        <f t="shared" si="480"/>
        <v>23.975223649999993</v>
      </c>
      <c r="T290" s="169">
        <f t="shared" si="481"/>
        <v>881.08946913749969</v>
      </c>
    </row>
    <row r="291" spans="1:20" s="7" customFormat="1" x14ac:dyDescent="0.25">
      <c r="A291" s="131">
        <f>IF(J291&lt;&gt;"",1+MAX($A$19:A290),"")</f>
        <v>206</v>
      </c>
      <c r="B291" s="53"/>
      <c r="C291" s="53"/>
      <c r="D291" s="106" t="s">
        <v>65</v>
      </c>
      <c r="E291" s="183" t="s">
        <v>107</v>
      </c>
      <c r="F291" s="179" t="s">
        <v>837</v>
      </c>
      <c r="G291" s="123">
        <v>30</v>
      </c>
      <c r="H291" s="55">
        <f>IF(VLOOKUP(J291,'HOURLY RATES'!B$116:C$124,2,0)=0,$J$3,VLOOKUP(J291,'HOURLY RATES'!B$116:C$124,2,0))</f>
        <v>0.05</v>
      </c>
      <c r="I291" s="56">
        <f t="shared" si="475"/>
        <v>31.5</v>
      </c>
      <c r="J291" s="105" t="s">
        <v>250</v>
      </c>
      <c r="K291" s="394">
        <v>0.32</v>
      </c>
      <c r="L291" s="63">
        <f t="shared" si="482"/>
        <v>10.08</v>
      </c>
      <c r="M291" s="61">
        <f>IF(VLOOKUP(E291,'HOURLY RATES'!C$6:D$105,2,0)=0,$E$3,VLOOKUP(E291,'HOURLY RATES'!C$6:D$105,2,0))</f>
        <v>60</v>
      </c>
      <c r="N291" s="61">
        <f t="shared" si="483"/>
        <v>604.79999999999995</v>
      </c>
      <c r="O291" s="64">
        <v>28</v>
      </c>
      <c r="P291" s="64">
        <f t="shared" si="478"/>
        <v>882</v>
      </c>
      <c r="Q291" s="65">
        <f t="shared" si="479"/>
        <v>1486.8</v>
      </c>
      <c r="R291" s="132"/>
      <c r="S291" s="170">
        <f t="shared" si="480"/>
        <v>59.754673999999987</v>
      </c>
      <c r="T291" s="169">
        <f t="shared" si="481"/>
        <v>1882.2722309999997</v>
      </c>
    </row>
    <row r="292" spans="1:20" s="7" customFormat="1" x14ac:dyDescent="0.25">
      <c r="A292" s="131">
        <f>IF(J292&lt;&gt;"",1+MAX($A$19:A291),"")</f>
        <v>207</v>
      </c>
      <c r="B292" s="53"/>
      <c r="C292" s="53"/>
      <c r="D292" s="106" t="s">
        <v>65</v>
      </c>
      <c r="E292" s="183" t="s">
        <v>107</v>
      </c>
      <c r="F292" s="179" t="s">
        <v>828</v>
      </c>
      <c r="G292" s="123">
        <v>30</v>
      </c>
      <c r="H292" s="55">
        <f>IF(VLOOKUP(J292,'HOURLY RATES'!B$116:C$124,2,0)=0,$J$3,VLOOKUP(J292,'HOURLY RATES'!B$116:C$124,2,0))</f>
        <v>0.05</v>
      </c>
      <c r="I292" s="56">
        <f t="shared" si="475"/>
        <v>31.5</v>
      </c>
      <c r="J292" s="105" t="s">
        <v>250</v>
      </c>
      <c r="K292" s="394">
        <v>0.32</v>
      </c>
      <c r="L292" s="63">
        <f t="shared" si="482"/>
        <v>10.08</v>
      </c>
      <c r="M292" s="61">
        <f>IF(VLOOKUP(E292,'HOURLY RATES'!C$6:D$105,2,0)=0,$E$3,VLOOKUP(E292,'HOURLY RATES'!C$6:D$105,2,0))</f>
        <v>60</v>
      </c>
      <c r="N292" s="61">
        <f t="shared" si="483"/>
        <v>604.79999999999995</v>
      </c>
      <c r="O292" s="64">
        <v>28.5</v>
      </c>
      <c r="P292" s="64">
        <f t="shared" si="478"/>
        <v>897.75</v>
      </c>
      <c r="Q292" s="65">
        <f t="shared" si="479"/>
        <v>1502.55</v>
      </c>
      <c r="R292" s="132"/>
      <c r="S292" s="170">
        <f t="shared" si="480"/>
        <v>60.404121749999987</v>
      </c>
      <c r="T292" s="169">
        <f t="shared" si="481"/>
        <v>1902.7298351249997</v>
      </c>
    </row>
    <row r="293" spans="1:20" s="7" customFormat="1" x14ac:dyDescent="0.25">
      <c r="A293" s="131">
        <f>IF(J293&lt;&gt;"",1+MAX($A$19:A292),"")</f>
        <v>208</v>
      </c>
      <c r="B293" s="53"/>
      <c r="C293" s="53"/>
      <c r="D293" s="106" t="s">
        <v>65</v>
      </c>
      <c r="E293" s="183" t="s">
        <v>107</v>
      </c>
      <c r="F293" s="179" t="s">
        <v>830</v>
      </c>
      <c r="G293" s="123">
        <v>351</v>
      </c>
      <c r="H293" s="55">
        <f>IF(VLOOKUP(J293,'HOURLY RATES'!B$116:C$124,2,0)=0,$J$3,VLOOKUP(J293,'HOURLY RATES'!B$116:C$124,2,0))</f>
        <v>0.05</v>
      </c>
      <c r="I293" s="56">
        <f t="shared" si="475"/>
        <v>368.55</v>
      </c>
      <c r="J293" s="105" t="s">
        <v>250</v>
      </c>
      <c r="K293" s="394">
        <v>0.4</v>
      </c>
      <c r="L293" s="63">
        <f t="shared" si="482"/>
        <v>147.42000000000002</v>
      </c>
      <c r="M293" s="61">
        <f>IF(VLOOKUP(E293,'HOURLY RATES'!C$6:D$105,2,0)=0,$E$3,VLOOKUP(E293,'HOURLY RATES'!C$6:D$105,2,0))</f>
        <v>60</v>
      </c>
      <c r="N293" s="61">
        <f t="shared" si="483"/>
        <v>8845.2000000000007</v>
      </c>
      <c r="O293" s="64">
        <v>39</v>
      </c>
      <c r="P293" s="64">
        <f t="shared" si="478"/>
        <v>14373.45</v>
      </c>
      <c r="Q293" s="65">
        <f t="shared" si="479"/>
        <v>23218.65</v>
      </c>
      <c r="R293" s="132"/>
      <c r="S293" s="170">
        <f t="shared" si="480"/>
        <v>79.888924499999987</v>
      </c>
      <c r="T293" s="169">
        <f t="shared" si="481"/>
        <v>29443.063124474997</v>
      </c>
    </row>
    <row r="294" spans="1:20" s="7" customFormat="1" x14ac:dyDescent="0.25">
      <c r="A294" s="131">
        <f>IF(J294&lt;&gt;"",1+MAX($A$19:A293),"")</f>
        <v>209</v>
      </c>
      <c r="B294" s="53"/>
      <c r="C294" s="53"/>
      <c r="D294" s="106" t="s">
        <v>67</v>
      </c>
      <c r="E294" s="183" t="s">
        <v>107</v>
      </c>
      <c r="F294" s="179" t="s">
        <v>832</v>
      </c>
      <c r="G294" s="123">
        <v>10.029999999999999</v>
      </c>
      <c r="H294" s="55">
        <f>IF(VLOOKUP(J294,'HOURLY RATES'!B$116:C$124,2,0)=0,$J$3,VLOOKUP(J294,'HOURLY RATES'!B$116:C$124,2,0))</f>
        <v>0.05</v>
      </c>
      <c r="I294" s="56">
        <f t="shared" si="475"/>
        <v>10.531499999999999</v>
      </c>
      <c r="J294" s="105" t="s">
        <v>250</v>
      </c>
      <c r="K294" s="394">
        <v>0.123</v>
      </c>
      <c r="L294" s="63">
        <f t="shared" si="482"/>
        <v>1.2953744999999999</v>
      </c>
      <c r="M294" s="61">
        <f>IF(VLOOKUP(E294,'HOURLY RATES'!C$6:D$105,2,0)=0,$E$3,VLOOKUP(E294,'HOURLY RATES'!C$6:D$105,2,0))</f>
        <v>60</v>
      </c>
      <c r="N294" s="61">
        <f t="shared" si="483"/>
        <v>77.722469999999987</v>
      </c>
      <c r="O294" s="64">
        <v>6.15</v>
      </c>
      <c r="P294" s="64">
        <f t="shared" si="478"/>
        <v>64.768725000000003</v>
      </c>
      <c r="Q294" s="65">
        <f t="shared" si="479"/>
        <v>142.491195</v>
      </c>
      <c r="R294" s="132"/>
      <c r="S294" s="170">
        <f t="shared" si="480"/>
        <v>16.977047324999997</v>
      </c>
      <c r="T294" s="169">
        <f t="shared" si="481"/>
        <v>178.79377390323745</v>
      </c>
    </row>
    <row r="295" spans="1:20" s="7" customFormat="1" x14ac:dyDescent="0.25">
      <c r="A295" s="131" t="str">
        <f>IF(J295&lt;&gt;"",1+MAX($A$19:A294),"")</f>
        <v/>
      </c>
      <c r="B295" s="53"/>
      <c r="C295" s="53"/>
      <c r="D295" s="106"/>
      <c r="E295" s="183"/>
      <c r="F295" s="300"/>
      <c r="G295" s="123"/>
      <c r="H295" s="55"/>
      <c r="I295" s="56"/>
      <c r="J295" s="105"/>
      <c r="K295" s="394"/>
      <c r="L295" s="63"/>
      <c r="M295" s="61"/>
      <c r="N295" s="61"/>
      <c r="O295" s="64"/>
      <c r="P295" s="64"/>
      <c r="Q295" s="65"/>
      <c r="R295" s="132"/>
      <c r="S295" s="170"/>
      <c r="T295" s="169"/>
    </row>
    <row r="296" spans="1:20" s="7" customFormat="1" ht="18" x14ac:dyDescent="0.25">
      <c r="A296" s="131" t="str">
        <f>IF(J296&lt;&gt;"",1+MAX($A$19:A295),"")</f>
        <v/>
      </c>
      <c r="B296" s="53"/>
      <c r="C296" s="66"/>
      <c r="D296" s="106"/>
      <c r="E296" s="183"/>
      <c r="F296" s="178" t="s">
        <v>836</v>
      </c>
      <c r="G296" s="54"/>
      <c r="H296" s="55"/>
      <c r="I296" s="56"/>
      <c r="J296" s="105"/>
      <c r="K296" s="394"/>
      <c r="L296" s="63"/>
      <c r="M296" s="61"/>
      <c r="N296" s="61"/>
      <c r="O296" s="64"/>
      <c r="P296" s="64"/>
      <c r="Q296" s="65"/>
      <c r="R296" s="132"/>
      <c r="S296" s="170"/>
      <c r="T296" s="169"/>
    </row>
    <row r="297" spans="1:20" s="7" customFormat="1" ht="46.8" x14ac:dyDescent="0.25">
      <c r="A297" s="131">
        <f>IF(J297&lt;&gt;"",1+MAX($A$19:A296),"")</f>
        <v>210</v>
      </c>
      <c r="B297" s="53"/>
      <c r="C297" s="53"/>
      <c r="D297" s="106" t="s">
        <v>65</v>
      </c>
      <c r="E297" s="183" t="s">
        <v>107</v>
      </c>
      <c r="F297" s="179" t="s">
        <v>838</v>
      </c>
      <c r="G297" s="123">
        <v>2007.75</v>
      </c>
      <c r="H297" s="55">
        <f>IF(VLOOKUP(J297,'HOURLY RATES'!B$116:C$124,2,0)=0,$J$3,VLOOKUP(J297,'HOURLY RATES'!B$116:C$124,2,0))</f>
        <v>0.05</v>
      </c>
      <c r="I297" s="56">
        <f t="shared" ref="I297" si="484">(G297*(1+H297))</f>
        <v>2108.1375000000003</v>
      </c>
      <c r="J297" s="105" t="s">
        <v>250</v>
      </c>
      <c r="K297" s="394">
        <v>0.22077999999999998</v>
      </c>
      <c r="L297" s="63">
        <f t="shared" ref="L297" si="485">K297*I297</f>
        <v>465.43459725000002</v>
      </c>
      <c r="M297" s="61">
        <f>IF(VLOOKUP(E297,'HOURLY RATES'!C$6:D$105,2,0)=0,$E$3,VLOOKUP(E297,'HOURLY RATES'!C$6:D$105,2,0))</f>
        <v>60</v>
      </c>
      <c r="N297" s="61">
        <f t="shared" ref="N297" si="486">M297*L297</f>
        <v>27926.075835000003</v>
      </c>
      <c r="O297" s="64">
        <v>26.599999999999998</v>
      </c>
      <c r="P297" s="64">
        <f t="shared" ref="P297" si="487">O297*I297</f>
        <v>56076.457500000004</v>
      </c>
      <c r="Q297" s="65">
        <f t="shared" ref="Q297" si="488">P297+N297</f>
        <v>84002.533335000015</v>
      </c>
      <c r="R297" s="132"/>
      <c r="S297" s="170">
        <f t="shared" ref="S297" si="489">((((N297*(1+$D$7))+(P297*(1+$D$5+$D$6)))*(1+$D$8)))/I297</f>
        <v>50.685222699999997</v>
      </c>
      <c r="T297" s="169">
        <f t="shared" ref="T297" si="490">S297*I297</f>
        <v>106851.41866972126</v>
      </c>
    </row>
    <row r="298" spans="1:20" s="7" customFormat="1" ht="46.8" x14ac:dyDescent="0.25">
      <c r="A298" s="131">
        <f>IF(J298&lt;&gt;"",1+MAX($A$19:A297),"")</f>
        <v>211</v>
      </c>
      <c r="B298" s="53"/>
      <c r="C298" s="53"/>
      <c r="D298" s="106" t="s">
        <v>65</v>
      </c>
      <c r="E298" s="183" t="s">
        <v>107</v>
      </c>
      <c r="F298" s="179" t="s">
        <v>839</v>
      </c>
      <c r="G298" s="123">
        <v>225.07</v>
      </c>
      <c r="H298" s="55">
        <f>IF(VLOOKUP(J298,'HOURLY RATES'!B$116:C$124,2,0)=0,$J$3,VLOOKUP(J298,'HOURLY RATES'!B$116:C$124,2,0))</f>
        <v>0.05</v>
      </c>
      <c r="I298" s="56">
        <f>(G298*(1+H298))</f>
        <v>236.3235</v>
      </c>
      <c r="J298" s="105" t="s">
        <v>250</v>
      </c>
      <c r="K298" s="394">
        <v>0.26144999999999996</v>
      </c>
      <c r="L298" s="63">
        <f>K298*I298</f>
        <v>61.786779074999991</v>
      </c>
      <c r="M298" s="61">
        <f>IF(VLOOKUP(E298,'HOURLY RATES'!C$6:D$105,2,0)=0,$E$3,VLOOKUP(E298,'HOURLY RATES'!C$6:D$105,2,0))</f>
        <v>60</v>
      </c>
      <c r="N298" s="61">
        <f>M298*L298</f>
        <v>3707.2067444999993</v>
      </c>
      <c r="O298" s="64">
        <v>31.499999999999996</v>
      </c>
      <c r="P298" s="64">
        <f>O298*I298</f>
        <v>7444.1902499999987</v>
      </c>
      <c r="Q298" s="65">
        <f>P298+N298</f>
        <v>11151.396994499999</v>
      </c>
      <c r="R298" s="132"/>
      <c r="S298" s="170">
        <f>((((N298*(1+$D$7))+(P298*(1+$D$5+$D$6)))*(1+$D$8)))/I298</f>
        <v>60.021974249999985</v>
      </c>
      <c r="T298" s="169">
        <f>S298*I298</f>
        <v>14184.603031669871</v>
      </c>
    </row>
    <row r="299" spans="1:20" s="7" customFormat="1" x14ac:dyDescent="0.25">
      <c r="A299" s="131">
        <f>IF(J299&lt;&gt;"",1+MAX($A$19:A298),"")</f>
        <v>212</v>
      </c>
      <c r="B299" s="53"/>
      <c r="C299" s="53"/>
      <c r="D299" s="106" t="s">
        <v>65</v>
      </c>
      <c r="E299" s="183" t="s">
        <v>107</v>
      </c>
      <c r="F299" s="179" t="s">
        <v>840</v>
      </c>
      <c r="G299" s="123">
        <v>3044</v>
      </c>
      <c r="H299" s="55">
        <f>IF(VLOOKUP(J299,'HOURLY RATES'!B$116:C$124,2,0)=0,$J$3,VLOOKUP(J299,'HOURLY RATES'!B$116:C$124,2,0))</f>
        <v>0.05</v>
      </c>
      <c r="I299" s="56">
        <f t="shared" ref="I299:I303" si="491">(G299*(1+H299))</f>
        <v>3196.2000000000003</v>
      </c>
      <c r="J299" s="105" t="s">
        <v>250</v>
      </c>
      <c r="K299" s="394">
        <v>0.3735</v>
      </c>
      <c r="L299" s="63">
        <f t="shared" ref="L299" si="492">K299*I299</f>
        <v>1193.7807</v>
      </c>
      <c r="M299" s="61">
        <f>IF(VLOOKUP(E299,'HOURLY RATES'!C$6:D$105,2,0)=0,$E$3,VLOOKUP(E299,'HOURLY RATES'!C$6:D$105,2,0))</f>
        <v>60</v>
      </c>
      <c r="N299" s="61">
        <f t="shared" ref="N299" si="493">M299*L299</f>
        <v>71626.842000000004</v>
      </c>
      <c r="O299" s="64">
        <v>45</v>
      </c>
      <c r="P299" s="64">
        <f t="shared" ref="P299:P303" si="494">O299*I299</f>
        <v>143829</v>
      </c>
      <c r="Q299" s="65">
        <f t="shared" ref="Q299:Q303" si="495">P299+N299</f>
        <v>215455.842</v>
      </c>
      <c r="R299" s="132"/>
      <c r="S299" s="170">
        <f t="shared" ref="S299:S303" si="496">((((N299*(1+$D$7))+(P299*(1+$D$5+$D$6)))*(1+$D$8)))/I299</f>
        <v>85.745677499999985</v>
      </c>
      <c r="T299" s="169">
        <f t="shared" ref="T299:T303" si="497">S299*I299</f>
        <v>274060.33442549995</v>
      </c>
    </row>
    <row r="300" spans="1:20" s="7" customFormat="1" x14ac:dyDescent="0.25">
      <c r="A300" s="131" t="str">
        <f>IF(J300&lt;&gt;"",1+MAX($A$19:A299),"")</f>
        <v/>
      </c>
      <c r="B300" s="53"/>
      <c r="C300" s="53"/>
      <c r="D300" s="106"/>
      <c r="E300" s="183"/>
      <c r="F300" s="179"/>
      <c r="G300" s="123"/>
      <c r="H300" s="55"/>
      <c r="I300" s="56"/>
      <c r="J300" s="105"/>
      <c r="K300" s="394"/>
      <c r="L300" s="63"/>
      <c r="M300" s="61"/>
      <c r="N300" s="61"/>
      <c r="O300" s="64"/>
      <c r="P300" s="64"/>
      <c r="Q300" s="65"/>
      <c r="R300" s="132"/>
      <c r="S300" s="170"/>
      <c r="T300" s="169"/>
    </row>
    <row r="301" spans="1:20" s="7" customFormat="1" x14ac:dyDescent="0.25">
      <c r="A301" s="131">
        <f>IF(J301&lt;&gt;"",1+MAX($A$19:A300),"")</f>
        <v>213</v>
      </c>
      <c r="B301" s="53"/>
      <c r="C301" s="53"/>
      <c r="D301" s="106" t="s">
        <v>65</v>
      </c>
      <c r="E301" s="183" t="s">
        <v>107</v>
      </c>
      <c r="F301" s="179" t="s">
        <v>829</v>
      </c>
      <c r="G301" s="123">
        <v>2579.7199999999998</v>
      </c>
      <c r="H301" s="55">
        <f>IF(VLOOKUP(J301,'HOURLY RATES'!B$116:C$124,2,0)=0,$J$3,VLOOKUP(J301,'HOURLY RATES'!B$116:C$124,2,0))</f>
        <v>0.05</v>
      </c>
      <c r="I301" s="56">
        <f t="shared" si="491"/>
        <v>2708.7060000000001</v>
      </c>
      <c r="J301" s="105" t="s">
        <v>250</v>
      </c>
      <c r="K301" s="394">
        <v>7.0000000000000007E-2</v>
      </c>
      <c r="L301" s="63">
        <f>K301*I301</f>
        <v>189.60942000000003</v>
      </c>
      <c r="M301" s="61">
        <f>IF(VLOOKUP(E301,'HOURLY RATES'!C$6:D$105,2,0)=0,$E$3,VLOOKUP(E301,'HOURLY RATES'!C$6:D$105,2,0))</f>
        <v>60</v>
      </c>
      <c r="N301" s="61">
        <f>M301*L301</f>
        <v>11376.565200000001</v>
      </c>
      <c r="O301" s="64">
        <v>5.5</v>
      </c>
      <c r="P301" s="64">
        <f t="shared" si="494"/>
        <v>14897.883000000002</v>
      </c>
      <c r="Q301" s="65">
        <f t="shared" si="495"/>
        <v>26274.448200000003</v>
      </c>
      <c r="R301" s="132"/>
      <c r="S301" s="170">
        <f t="shared" si="496"/>
        <v>12.259525249999996</v>
      </c>
      <c r="T301" s="169">
        <f t="shared" si="497"/>
        <v>33207.449601826491</v>
      </c>
    </row>
    <row r="302" spans="1:20" s="7" customFormat="1" x14ac:dyDescent="0.25">
      <c r="A302" s="131">
        <f>IF(J302&lt;&gt;"",1+MAX($A$19:A301),"")</f>
        <v>214</v>
      </c>
      <c r="B302" s="53"/>
      <c r="C302" s="53"/>
      <c r="D302" s="106" t="s">
        <v>65</v>
      </c>
      <c r="E302" s="183" t="s">
        <v>107</v>
      </c>
      <c r="F302" s="179" t="s">
        <v>841</v>
      </c>
      <c r="G302" s="123">
        <v>776.86</v>
      </c>
      <c r="H302" s="55">
        <f>IF(VLOOKUP(J302,'HOURLY RATES'!B$116:C$124,2,0)=0,$J$3,VLOOKUP(J302,'HOURLY RATES'!B$116:C$124,2,0))</f>
        <v>0.05</v>
      </c>
      <c r="I302" s="56">
        <f>(G302*(1+H302))</f>
        <v>815.70300000000009</v>
      </c>
      <c r="J302" s="105" t="s">
        <v>250</v>
      </c>
      <c r="K302" s="394">
        <v>7.0000000000000007E-2</v>
      </c>
      <c r="L302" s="63">
        <f>K302*I302</f>
        <v>57.099210000000014</v>
      </c>
      <c r="M302" s="61">
        <f>IF(VLOOKUP(E302,'HOURLY RATES'!C$6:D$105,2,0)=0,$E$3,VLOOKUP(E302,'HOURLY RATES'!C$6:D$105,2,0))</f>
        <v>60</v>
      </c>
      <c r="N302" s="61">
        <f>M302*L302</f>
        <v>3425.952600000001</v>
      </c>
      <c r="O302" s="64">
        <v>5.5</v>
      </c>
      <c r="P302" s="64">
        <f>O302*I302</f>
        <v>4486.3665000000001</v>
      </c>
      <c r="Q302" s="65">
        <f>P302+N302</f>
        <v>7912.3191000000006</v>
      </c>
      <c r="R302" s="132"/>
      <c r="S302" s="170">
        <f>((((N302*(1+$D$7))+(P302*(1+$D$5+$D$6)))*(1+$D$8)))/I302</f>
        <v>12.259525249999999</v>
      </c>
      <c r="T302" s="169">
        <f>S302*I302</f>
        <v>10000.13152500075</v>
      </c>
    </row>
    <row r="303" spans="1:20" s="7" customFormat="1" x14ac:dyDescent="0.25">
      <c r="A303" s="131">
        <f>IF(J303&lt;&gt;"",1+MAX($A$19:A302),"")</f>
        <v>215</v>
      </c>
      <c r="B303" s="53"/>
      <c r="C303" s="53"/>
      <c r="D303" s="106" t="s">
        <v>65</v>
      </c>
      <c r="E303" s="183" t="s">
        <v>107</v>
      </c>
      <c r="F303" s="179" t="s">
        <v>830</v>
      </c>
      <c r="G303" s="123">
        <v>464</v>
      </c>
      <c r="H303" s="55">
        <f>IF(VLOOKUP(J303,'HOURLY RATES'!B$116:C$124,2,0)=0,$J$3,VLOOKUP(J303,'HOURLY RATES'!B$116:C$124,2,0))</f>
        <v>0.05</v>
      </c>
      <c r="I303" s="56">
        <f t="shared" si="491"/>
        <v>487.20000000000005</v>
      </c>
      <c r="J303" s="105" t="s">
        <v>250</v>
      </c>
      <c r="K303" s="394">
        <v>0.4</v>
      </c>
      <c r="L303" s="63">
        <f t="shared" ref="L303" si="498">K303*I303</f>
        <v>194.88000000000002</v>
      </c>
      <c r="M303" s="61">
        <f>IF(VLOOKUP(E303,'HOURLY RATES'!C$6:D$105,2,0)=0,$E$3,VLOOKUP(E303,'HOURLY RATES'!C$6:D$105,2,0))</f>
        <v>60</v>
      </c>
      <c r="N303" s="61">
        <f t="shared" ref="N303" si="499">M303*L303</f>
        <v>11692.800000000001</v>
      </c>
      <c r="O303" s="64">
        <v>39</v>
      </c>
      <c r="P303" s="64">
        <f t="shared" si="494"/>
        <v>19000.800000000003</v>
      </c>
      <c r="Q303" s="65">
        <f t="shared" si="495"/>
        <v>30693.600000000006</v>
      </c>
      <c r="R303" s="132"/>
      <c r="S303" s="170">
        <f t="shared" si="496"/>
        <v>79.888924499999987</v>
      </c>
      <c r="T303" s="169">
        <f t="shared" si="497"/>
        <v>38921.884016399999</v>
      </c>
    </row>
    <row r="304" spans="1:20" s="7" customFormat="1" x14ac:dyDescent="0.25">
      <c r="A304" s="131" t="str">
        <f>IF(J304&lt;&gt;"",1+MAX($A$19:A303),"")</f>
        <v/>
      </c>
      <c r="B304" s="53"/>
      <c r="C304" s="53"/>
      <c r="D304" s="106"/>
      <c r="E304" s="183"/>
      <c r="F304" s="300"/>
      <c r="G304" s="123"/>
      <c r="H304" s="55"/>
      <c r="I304" s="56"/>
      <c r="J304" s="105"/>
      <c r="K304" s="394"/>
      <c r="L304" s="63"/>
      <c r="M304" s="61"/>
      <c r="N304" s="61"/>
      <c r="O304" s="64"/>
      <c r="P304" s="64"/>
      <c r="Q304" s="65"/>
      <c r="R304" s="132"/>
      <c r="S304" s="170"/>
      <c r="T304" s="169"/>
    </row>
    <row r="305" spans="1:21" s="7" customFormat="1" ht="18" x14ac:dyDescent="0.25">
      <c r="A305" s="131" t="str">
        <f>IF(J305&lt;&gt;"",1+MAX($A$19:A304),"")</f>
        <v/>
      </c>
      <c r="B305" s="53"/>
      <c r="C305" s="66"/>
      <c r="D305" s="106"/>
      <c r="E305" s="183"/>
      <c r="F305" s="178" t="s">
        <v>833</v>
      </c>
      <c r="G305" s="54"/>
      <c r="H305" s="55"/>
      <c r="I305" s="56"/>
      <c r="J305" s="105"/>
      <c r="K305" s="394"/>
      <c r="L305" s="63"/>
      <c r="M305" s="61"/>
      <c r="N305" s="61"/>
      <c r="O305" s="64"/>
      <c r="P305" s="64"/>
      <c r="Q305" s="65"/>
      <c r="R305" s="132"/>
      <c r="S305" s="170"/>
      <c r="T305" s="169"/>
    </row>
    <row r="306" spans="1:21" s="7" customFormat="1" x14ac:dyDescent="0.25">
      <c r="A306" s="131">
        <f>IF(J306&lt;&gt;"",1+MAX($A$19:A305),"")</f>
        <v>216</v>
      </c>
      <c r="B306" s="53"/>
      <c r="C306" s="53"/>
      <c r="D306" s="106" t="s">
        <v>65</v>
      </c>
      <c r="E306" s="183" t="s">
        <v>107</v>
      </c>
      <c r="F306" s="179" t="s">
        <v>834</v>
      </c>
      <c r="G306" s="123">
        <v>512.16</v>
      </c>
      <c r="H306" s="55">
        <f>IF(VLOOKUP(J306,'HOURLY RATES'!B$116:C$124,2,0)=0,$J$3,VLOOKUP(J306,'HOURLY RATES'!B$116:C$124,2,0))</f>
        <v>0.05</v>
      </c>
      <c r="I306" s="56">
        <f t="shared" ref="I306" si="500">(G306*(1+H306))</f>
        <v>537.76800000000003</v>
      </c>
      <c r="J306" s="105" t="s">
        <v>250</v>
      </c>
      <c r="K306" s="394">
        <v>7.0000000000000007E-2</v>
      </c>
      <c r="L306" s="63">
        <f>K306*I306</f>
        <v>37.643760000000007</v>
      </c>
      <c r="M306" s="61">
        <f>IF(VLOOKUP(E306,'HOURLY RATES'!C$6:D$105,2,0)=0,$E$3,VLOOKUP(E306,'HOURLY RATES'!C$6:D$105,2,0))</f>
        <v>60</v>
      </c>
      <c r="N306" s="61">
        <f>M306*L306</f>
        <v>2258.6256000000003</v>
      </c>
      <c r="O306" s="64">
        <v>5.5</v>
      </c>
      <c r="P306" s="64">
        <f t="shared" ref="P306" si="501">O306*I306</f>
        <v>2957.7240000000002</v>
      </c>
      <c r="Q306" s="65">
        <f t="shared" ref="Q306" si="502">P306+N306</f>
        <v>5216.3496000000005</v>
      </c>
      <c r="R306" s="132"/>
      <c r="S306" s="170">
        <f t="shared" ref="S306" si="503">((((N306*(1+$D$7))+(P306*(1+$D$5+$D$6)))*(1+$D$8)))/I306</f>
        <v>12.259525249999998</v>
      </c>
      <c r="T306" s="169">
        <f t="shared" ref="T306" si="504">S306*I306</f>
        <v>6592.7803746419995</v>
      </c>
    </row>
    <row r="307" spans="1:21" s="7" customFormat="1" x14ac:dyDescent="0.25">
      <c r="A307" s="131">
        <f>IF(J307&lt;&gt;"",1+MAX($A$19:A306),"")</f>
        <v>217</v>
      </c>
      <c r="B307" s="53"/>
      <c r="C307" s="53"/>
      <c r="D307" s="106" t="s">
        <v>65</v>
      </c>
      <c r="E307" s="183" t="s">
        <v>107</v>
      </c>
      <c r="F307" s="179" t="s">
        <v>835</v>
      </c>
      <c r="G307" s="123">
        <v>80</v>
      </c>
      <c r="H307" s="55">
        <f>IF(VLOOKUP(J307,'HOURLY RATES'!B$116:C$124,2,0)=0,$J$3,VLOOKUP(J307,'HOURLY RATES'!B$116:C$124,2,0))</f>
        <v>0.05</v>
      </c>
      <c r="I307" s="56">
        <f>(G307*(1+H307))</f>
        <v>84</v>
      </c>
      <c r="J307" s="105" t="s">
        <v>250</v>
      </c>
      <c r="K307" s="394">
        <v>0.4</v>
      </c>
      <c r="L307" s="63">
        <f t="shared" ref="L307" si="505">K307*I307</f>
        <v>33.6</v>
      </c>
      <c r="M307" s="61">
        <f>IF(VLOOKUP(E307,'HOURLY RATES'!C$6:D$105,2,0)=0,$E$3,VLOOKUP(E307,'HOURLY RATES'!C$6:D$105,2,0))</f>
        <v>60</v>
      </c>
      <c r="N307" s="61">
        <f t="shared" ref="N307" si="506">M307*L307</f>
        <v>2016</v>
      </c>
      <c r="O307" s="64">
        <v>39</v>
      </c>
      <c r="P307" s="64">
        <f>O307*I307</f>
        <v>3276</v>
      </c>
      <c r="Q307" s="65">
        <f>P307+N307</f>
        <v>5292</v>
      </c>
      <c r="R307" s="132"/>
      <c r="S307" s="170">
        <f>((((N307*(1+$D$7))+(P307*(1+$D$5+$D$6)))*(1+$D$8)))/I307</f>
        <v>79.888924499999973</v>
      </c>
      <c r="T307" s="169">
        <f>S307*I307</f>
        <v>6710.669657999998</v>
      </c>
    </row>
    <row r="308" spans="1:21" s="7" customFormat="1" x14ac:dyDescent="0.25">
      <c r="A308" s="131" t="str">
        <f>IF(J308&lt;&gt;"",1+MAX($A$19:A307),"")</f>
        <v/>
      </c>
      <c r="B308" s="53"/>
      <c r="C308" s="53"/>
      <c r="D308" s="106"/>
      <c r="E308" s="183"/>
      <c r="F308" s="300"/>
      <c r="G308" s="123"/>
      <c r="H308" s="55"/>
      <c r="I308" s="56"/>
      <c r="J308" s="105"/>
      <c r="K308" s="394"/>
      <c r="L308" s="63"/>
      <c r="M308" s="61"/>
      <c r="N308" s="61"/>
      <c r="O308" s="64"/>
      <c r="P308" s="64"/>
      <c r="Q308" s="65"/>
      <c r="R308" s="132"/>
      <c r="S308" s="170"/>
      <c r="T308" s="169"/>
    </row>
    <row r="309" spans="1:21" s="7" customFormat="1" x14ac:dyDescent="0.25">
      <c r="A309" s="216" t="str">
        <f>IF(J309&lt;&gt;"",1+MAX($A$19:A308),"")</f>
        <v/>
      </c>
      <c r="B309" s="216"/>
      <c r="C309" s="216"/>
      <c r="D309" s="216" t="s">
        <v>67</v>
      </c>
      <c r="E309" s="217"/>
      <c r="F309" s="218" t="s">
        <v>68</v>
      </c>
      <c r="G309" s="219"/>
      <c r="H309" s="218"/>
      <c r="I309" s="220"/>
      <c r="J309" s="220"/>
      <c r="K309" s="218"/>
      <c r="L309" s="218"/>
      <c r="M309" s="218"/>
      <c r="N309" s="218"/>
      <c r="O309" s="218"/>
      <c r="P309" s="218"/>
      <c r="Q309" s="218"/>
      <c r="R309" s="221">
        <f>SUM(Q310:Q325)</f>
        <v>130011.72</v>
      </c>
      <c r="S309" s="168"/>
      <c r="T309" s="169"/>
      <c r="U309" s="13"/>
    </row>
    <row r="310" spans="1:21" s="7" customFormat="1" x14ac:dyDescent="0.25">
      <c r="A310" s="131" t="str">
        <f>IF(J310&lt;&gt;"",1+MAX($A$19:A309),"")</f>
        <v/>
      </c>
      <c r="B310" s="53"/>
      <c r="C310" s="66"/>
      <c r="D310" s="106"/>
      <c r="E310" s="183"/>
      <c r="F310" s="180" t="s">
        <v>248</v>
      </c>
      <c r="G310" s="54"/>
      <c r="H310" s="55"/>
      <c r="I310" s="56"/>
      <c r="J310" s="105"/>
      <c r="K310" s="394"/>
      <c r="L310" s="63"/>
      <c r="M310" s="61"/>
      <c r="N310" s="61"/>
      <c r="O310" s="64"/>
      <c r="P310" s="64"/>
      <c r="Q310" s="65"/>
      <c r="R310" s="132"/>
      <c r="S310" s="170"/>
      <c r="T310" s="169"/>
    </row>
    <row r="311" spans="1:21" s="7" customFormat="1" x14ac:dyDescent="0.25">
      <c r="A311" s="131" t="str">
        <f>IF(J311&lt;&gt;"",1+MAX($A$19:A310),"")</f>
        <v/>
      </c>
      <c r="B311" s="53"/>
      <c r="C311" s="66"/>
      <c r="D311" s="106"/>
      <c r="E311" s="183"/>
      <c r="F311" s="176" t="s">
        <v>766</v>
      </c>
      <c r="G311" s="54"/>
      <c r="H311" s="55"/>
      <c r="I311" s="56"/>
      <c r="J311" s="105"/>
      <c r="K311" s="394"/>
      <c r="L311" s="63"/>
      <c r="M311" s="61"/>
      <c r="N311" s="61"/>
      <c r="O311" s="64"/>
      <c r="P311" s="64"/>
      <c r="Q311" s="65"/>
      <c r="R311" s="132"/>
      <c r="S311" s="170"/>
      <c r="T311" s="169"/>
    </row>
    <row r="312" spans="1:21" s="7" customFormat="1" x14ac:dyDescent="0.25">
      <c r="A312" s="131">
        <f>IF(J312&lt;&gt;"",1+MAX($A$19:A311),"")</f>
        <v>218</v>
      </c>
      <c r="B312" s="53"/>
      <c r="C312" s="53"/>
      <c r="D312" s="106" t="s">
        <v>67</v>
      </c>
      <c r="E312" s="183" t="s">
        <v>97</v>
      </c>
      <c r="F312" s="179" t="s">
        <v>940</v>
      </c>
      <c r="G312" s="123">
        <v>8</v>
      </c>
      <c r="H312" s="55">
        <f>IF(VLOOKUP(J312,'HOURLY RATES'!B$116:C$124,2,0)=0,$J$3,VLOOKUP(J312,'HOURLY RATES'!B$116:C$124,2,0))</f>
        <v>0</v>
      </c>
      <c r="I312" s="56">
        <f t="shared" ref="I312" si="507">(G312*(1+H312))</f>
        <v>8</v>
      </c>
      <c r="J312" s="105" t="s">
        <v>251</v>
      </c>
      <c r="K312" s="394">
        <v>0.21199999999999999</v>
      </c>
      <c r="L312" s="63">
        <f t="shared" ref="L312" si="508">K312*I312</f>
        <v>1.696</v>
      </c>
      <c r="M312" s="61">
        <f>IF(VLOOKUP(E312,'HOURLY RATES'!C$6:D$105,2,0)=0,$E$3,VLOOKUP(E312,'HOURLY RATES'!C$6:D$105,2,0))</f>
        <v>60</v>
      </c>
      <c r="N312" s="61">
        <f t="shared" ref="N312" si="509">M312*L312</f>
        <v>101.75999999999999</v>
      </c>
      <c r="O312" s="64">
        <v>24.5</v>
      </c>
      <c r="P312" s="64">
        <f t="shared" ref="P312" si="510">O312*I312</f>
        <v>196</v>
      </c>
      <c r="Q312" s="65">
        <f t="shared" ref="Q312" si="511">P312+N312</f>
        <v>297.76</v>
      </c>
      <c r="R312" s="132"/>
      <c r="S312" s="170">
        <f t="shared" ref="S312" si="512">((((N312*(1+$D$7))+(P312*(1+$D$5+$D$6)))*(1+$D$8)))/I312</f>
        <v>47.315899749999986</v>
      </c>
      <c r="T312" s="169">
        <f t="shared" ref="T312" si="513">S312*I312</f>
        <v>378.52719799999988</v>
      </c>
    </row>
    <row r="313" spans="1:21" s="7" customFormat="1" x14ac:dyDescent="0.25">
      <c r="A313" s="131">
        <f>IF(J313&lt;&gt;"",1+MAX($A$19:A312),"")</f>
        <v>219</v>
      </c>
      <c r="B313" s="53"/>
      <c r="C313" s="53"/>
      <c r="D313" s="106" t="s">
        <v>67</v>
      </c>
      <c r="E313" s="183" t="s">
        <v>97</v>
      </c>
      <c r="F313" s="179" t="s">
        <v>926</v>
      </c>
      <c r="G313" s="123">
        <v>10</v>
      </c>
      <c r="H313" s="55">
        <f>IF(VLOOKUP(J313,'HOURLY RATES'!B$116:C$124,2,0)=0,$J$3,VLOOKUP(J313,'HOURLY RATES'!B$116:C$124,2,0))</f>
        <v>0</v>
      </c>
      <c r="I313" s="56">
        <f t="shared" ref="I313" si="514">(G313*(1+H313))</f>
        <v>10</v>
      </c>
      <c r="J313" s="105" t="s">
        <v>251</v>
      </c>
      <c r="K313" s="394">
        <v>3</v>
      </c>
      <c r="L313" s="63">
        <f t="shared" ref="L313" si="515">K313*I313</f>
        <v>30</v>
      </c>
      <c r="M313" s="61">
        <f>IF(VLOOKUP(E313,'HOURLY RATES'!C$6:D$105,2,0)=0,$E$3,VLOOKUP(E313,'HOURLY RATES'!C$6:D$105,2,0))</f>
        <v>60</v>
      </c>
      <c r="N313" s="61">
        <f t="shared" ref="N313" si="516">M313*L313</f>
        <v>1800</v>
      </c>
      <c r="O313" s="64">
        <v>315</v>
      </c>
      <c r="P313" s="64">
        <f t="shared" ref="P313" si="517">O313*I313</f>
        <v>3150</v>
      </c>
      <c r="Q313" s="65">
        <f t="shared" ref="Q313" si="518">P313+N313</f>
        <v>4950</v>
      </c>
      <c r="R313" s="132"/>
      <c r="S313" s="170">
        <f t="shared" ref="S313" si="519">((((N313*(1+$D$7))+(P313*(1+$D$5+$D$6)))*(1+$D$8)))/I313</f>
        <v>628.39208249999979</v>
      </c>
      <c r="T313" s="169">
        <f t="shared" ref="T313" si="520">S313*I313</f>
        <v>6283.9208249999974</v>
      </c>
    </row>
    <row r="314" spans="1:21" s="7" customFormat="1" x14ac:dyDescent="0.25">
      <c r="A314" s="131">
        <f>IF(J314&lt;&gt;"",1+MAX($A$19:A313),"")</f>
        <v>220</v>
      </c>
      <c r="B314" s="53"/>
      <c r="C314" s="53"/>
      <c r="D314" s="106" t="s">
        <v>67</v>
      </c>
      <c r="E314" s="183" t="s">
        <v>97</v>
      </c>
      <c r="F314" s="179" t="s">
        <v>927</v>
      </c>
      <c r="G314" s="123">
        <v>5</v>
      </c>
      <c r="H314" s="55">
        <f>IF(VLOOKUP(J314,'HOURLY RATES'!B$116:C$124,2,0)=0,$J$3,VLOOKUP(J314,'HOURLY RATES'!B$116:C$124,2,0))</f>
        <v>0</v>
      </c>
      <c r="I314" s="56">
        <f t="shared" ref="I314" si="521">(G314*(1+H314))</f>
        <v>5</v>
      </c>
      <c r="J314" s="105" t="s">
        <v>251</v>
      </c>
      <c r="K314" s="394">
        <v>3.25</v>
      </c>
      <c r="L314" s="63">
        <f t="shared" ref="L314" si="522">K314*I314</f>
        <v>16.25</v>
      </c>
      <c r="M314" s="61">
        <f>IF(VLOOKUP(E314,'HOURLY RATES'!C$6:D$105,2,0)=0,$E$3,VLOOKUP(E314,'HOURLY RATES'!C$6:D$105,2,0))</f>
        <v>60</v>
      </c>
      <c r="N314" s="61">
        <f t="shared" ref="N314" si="523">M314*L314</f>
        <v>975</v>
      </c>
      <c r="O314" s="64">
        <v>350</v>
      </c>
      <c r="P314" s="64">
        <f t="shared" ref="P314" si="524">O314*I314</f>
        <v>1750</v>
      </c>
      <c r="Q314" s="65">
        <f t="shared" ref="Q314" si="525">P314+N314</f>
        <v>2725</v>
      </c>
      <c r="R314" s="132"/>
      <c r="S314" s="170">
        <f t="shared" ref="S314" si="526">((((N314*(1+$D$7))+(P314*(1+$D$5+$D$6)))*(1+$D$8)))/I314</f>
        <v>692.123425</v>
      </c>
      <c r="T314" s="169">
        <f t="shared" ref="T314" si="527">S314*I314</f>
        <v>3460.6171249999998</v>
      </c>
    </row>
    <row r="315" spans="1:21" s="7" customFormat="1" x14ac:dyDescent="0.25">
      <c r="A315" s="131">
        <f>IF(J315&lt;&gt;"",1+MAX($A$19:A314),"")</f>
        <v>221</v>
      </c>
      <c r="B315" s="53"/>
      <c r="C315" s="53"/>
      <c r="D315" s="106" t="s">
        <v>67</v>
      </c>
      <c r="E315" s="183" t="s">
        <v>97</v>
      </c>
      <c r="F315" s="179" t="s">
        <v>928</v>
      </c>
      <c r="G315" s="123">
        <v>15</v>
      </c>
      <c r="H315" s="55">
        <f>IF(VLOOKUP(J315,'HOURLY RATES'!B$116:C$124,2,0)=0,$J$3,VLOOKUP(J315,'HOURLY RATES'!B$116:C$124,2,0))</f>
        <v>0</v>
      </c>
      <c r="I315" s="56">
        <f t="shared" ref="I315" si="528">(G315*(1+H315))</f>
        <v>15</v>
      </c>
      <c r="J315" s="105" t="s">
        <v>251</v>
      </c>
      <c r="K315" s="394">
        <v>3.45</v>
      </c>
      <c r="L315" s="63">
        <f t="shared" ref="L315" si="529">K315*I315</f>
        <v>51.75</v>
      </c>
      <c r="M315" s="61">
        <f>IF(VLOOKUP(E315,'HOURLY RATES'!C$6:D$105,2,0)=0,$E$3,VLOOKUP(E315,'HOURLY RATES'!C$6:D$105,2,0))</f>
        <v>60</v>
      </c>
      <c r="N315" s="61">
        <f t="shared" ref="N315" si="530">M315*L315</f>
        <v>3105</v>
      </c>
      <c r="O315" s="64">
        <v>406</v>
      </c>
      <c r="P315" s="64">
        <f t="shared" ref="P315" si="531">O315*I315</f>
        <v>6090</v>
      </c>
      <c r="Q315" s="65">
        <f t="shared" ref="Q315" si="532">P315+N315</f>
        <v>9195</v>
      </c>
      <c r="R315" s="132"/>
      <c r="S315" s="170">
        <f t="shared" ref="S315" si="533">((((N315*(1+$D$7))+(P315*(1+$D$5+$D$6)))*(1+$D$8)))/I315</f>
        <v>779.47757299999989</v>
      </c>
      <c r="T315" s="169">
        <f t="shared" ref="T315" si="534">S315*I315</f>
        <v>11692.163594999998</v>
      </c>
    </row>
    <row r="316" spans="1:21" s="7" customFormat="1" x14ac:dyDescent="0.25">
      <c r="A316" s="131" t="str">
        <f>IF(J316&lt;&gt;"",1+MAX($A$19:A315),"")</f>
        <v/>
      </c>
      <c r="B316" s="53"/>
      <c r="C316" s="66"/>
      <c r="D316" s="106"/>
      <c r="E316" s="183"/>
      <c r="F316" s="180" t="s">
        <v>248</v>
      </c>
      <c r="G316" s="54"/>
      <c r="H316" s="55"/>
      <c r="I316" s="56"/>
      <c r="J316" s="105"/>
      <c r="K316" s="394"/>
      <c r="L316" s="63"/>
      <c r="M316" s="61"/>
      <c r="N316" s="61"/>
      <c r="O316" s="64"/>
      <c r="P316" s="64"/>
      <c r="Q316" s="65"/>
      <c r="R316" s="132"/>
      <c r="S316" s="170"/>
      <c r="T316" s="169"/>
    </row>
    <row r="317" spans="1:21" s="7" customFormat="1" x14ac:dyDescent="0.25">
      <c r="A317" s="131" t="str">
        <f>IF(J317&lt;&gt;"",1+MAX($A$19:A316),"")</f>
        <v/>
      </c>
      <c r="B317" s="53"/>
      <c r="C317" s="66"/>
      <c r="D317" s="106"/>
      <c r="E317" s="183"/>
      <c r="F317" s="176" t="s">
        <v>239</v>
      </c>
      <c r="G317" s="54"/>
      <c r="H317" s="55"/>
      <c r="I317" s="56"/>
      <c r="J317" s="105"/>
      <c r="K317" s="394"/>
      <c r="L317" s="63"/>
      <c r="M317" s="61"/>
      <c r="N317" s="61"/>
      <c r="O317" s="64"/>
      <c r="P317" s="64"/>
      <c r="Q317" s="65"/>
      <c r="R317" s="132"/>
      <c r="S317" s="170"/>
      <c r="T317" s="169"/>
    </row>
    <row r="318" spans="1:21" s="7" customFormat="1" x14ac:dyDescent="0.25">
      <c r="A318" s="131">
        <f>IF(J318&lt;&gt;"",1+MAX($A$19:A317),"")</f>
        <v>222</v>
      </c>
      <c r="B318" s="53"/>
      <c r="C318" s="53"/>
      <c r="D318" s="106" t="s">
        <v>67</v>
      </c>
      <c r="E318" s="183" t="s">
        <v>97</v>
      </c>
      <c r="F318" s="179" t="s">
        <v>764</v>
      </c>
      <c r="G318" s="123">
        <v>13</v>
      </c>
      <c r="H318" s="55">
        <f>IF(VLOOKUP(J318,'HOURLY RATES'!B$116:C$124,2,0)=0,$J$3,VLOOKUP(J318,'HOURLY RATES'!B$116:C$124,2,0))</f>
        <v>0</v>
      </c>
      <c r="I318" s="56">
        <f t="shared" ref="I318" si="535">(G318*(1+H318))</f>
        <v>13</v>
      </c>
      <c r="J318" s="105" t="s">
        <v>251</v>
      </c>
      <c r="K318" s="394">
        <v>0.35</v>
      </c>
      <c r="L318" s="63">
        <f t="shared" ref="L318" si="536">K318*I318</f>
        <v>4.55</v>
      </c>
      <c r="M318" s="61">
        <f>IF(VLOOKUP(E318,'HOURLY RATES'!C$6:D$105,2,0)=0,$E$3,VLOOKUP(E318,'HOURLY RATES'!C$6:D$105,2,0))</f>
        <v>60</v>
      </c>
      <c r="N318" s="61">
        <f t="shared" ref="N318" si="537">M318*L318</f>
        <v>273</v>
      </c>
      <c r="O318" s="64">
        <v>40</v>
      </c>
      <c r="P318" s="64">
        <f t="shared" ref="P318" si="538">O318*I318</f>
        <v>520</v>
      </c>
      <c r="Q318" s="65">
        <f t="shared" ref="Q318" si="539">P318+N318</f>
        <v>793</v>
      </c>
      <c r="R318" s="132"/>
      <c r="S318" s="170">
        <f t="shared" ref="S318" si="540">((((N318*(1+$D$7))+(P318*(1+$D$5+$D$6)))*(1+$D$8)))/I318</f>
        <v>77.533819999999977</v>
      </c>
      <c r="T318" s="169">
        <f t="shared" ref="T318" si="541">S318*I318</f>
        <v>1007.9396599999997</v>
      </c>
    </row>
    <row r="319" spans="1:21" s="7" customFormat="1" x14ac:dyDescent="0.25">
      <c r="A319" s="131" t="str">
        <f>IF(J319&lt;&gt;"",1+MAX($A$19:A318),"")</f>
        <v/>
      </c>
      <c r="B319" s="53"/>
      <c r="C319" s="66"/>
      <c r="D319" s="106"/>
      <c r="E319" s="183"/>
      <c r="F319" s="300"/>
      <c r="G319" s="123"/>
      <c r="H319" s="55"/>
      <c r="I319" s="56"/>
      <c r="J319" s="105"/>
      <c r="K319" s="394"/>
      <c r="L319" s="63"/>
      <c r="M319" s="61"/>
      <c r="N319" s="61"/>
      <c r="O319" s="64"/>
      <c r="P319" s="64"/>
      <c r="Q319" s="65"/>
      <c r="R319" s="132"/>
      <c r="S319" s="170"/>
      <c r="T319" s="169"/>
    </row>
    <row r="320" spans="1:21" s="7" customFormat="1" x14ac:dyDescent="0.25">
      <c r="A320" s="131" t="str">
        <f>IF(J320&lt;&gt;"",1+MAX($A$19:A319),"")</f>
        <v/>
      </c>
      <c r="B320" s="53"/>
      <c r="C320" s="66"/>
      <c r="D320" s="106"/>
      <c r="E320" s="183"/>
      <c r="F320" s="176" t="s">
        <v>842</v>
      </c>
      <c r="G320" s="54"/>
      <c r="H320" s="55"/>
      <c r="I320" s="56"/>
      <c r="J320" s="105"/>
      <c r="K320" s="394"/>
      <c r="L320" s="63"/>
      <c r="M320" s="61"/>
      <c r="N320" s="61"/>
      <c r="O320" s="64"/>
      <c r="P320" s="64"/>
      <c r="Q320" s="65"/>
      <c r="R320" s="132"/>
      <c r="S320" s="170"/>
      <c r="T320" s="169"/>
    </row>
    <row r="321" spans="1:21" s="7" customFormat="1" x14ac:dyDescent="0.25">
      <c r="A321" s="131">
        <f>IF(J321&lt;&gt;"",1+MAX($A$19:A320),"")</f>
        <v>223</v>
      </c>
      <c r="B321" s="53"/>
      <c r="C321" s="53"/>
      <c r="D321" s="106" t="s">
        <v>65</v>
      </c>
      <c r="E321" s="183" t="s">
        <v>97</v>
      </c>
      <c r="F321" s="179" t="s">
        <v>814</v>
      </c>
      <c r="G321" s="123">
        <v>16704</v>
      </c>
      <c r="H321" s="55">
        <f>IF(VLOOKUP(J321,'HOURLY RATES'!B$116:C$124,2,0)=0,$J$3,VLOOKUP(J321,'HOURLY RATES'!B$116:C$124,2,0))</f>
        <v>0.05</v>
      </c>
      <c r="I321" s="56">
        <f t="shared" ref="I321" si="542">(G321*(1+H321))</f>
        <v>17539.2</v>
      </c>
      <c r="J321" s="105" t="s">
        <v>250</v>
      </c>
      <c r="K321" s="394">
        <v>0.03</v>
      </c>
      <c r="L321" s="63">
        <f t="shared" ref="L321" si="543">K321*I321</f>
        <v>526.17600000000004</v>
      </c>
      <c r="M321" s="61">
        <f>IF(VLOOKUP(E321,'HOURLY RATES'!C$6:D$105,2,0)=0,$E$3,VLOOKUP(E321,'HOURLY RATES'!C$6:D$105,2,0))</f>
        <v>60</v>
      </c>
      <c r="N321" s="61">
        <f t="shared" ref="N321" si="544">M321*L321</f>
        <v>31570.560000000001</v>
      </c>
      <c r="O321" s="64">
        <v>1.25</v>
      </c>
      <c r="P321" s="64">
        <f t="shared" ref="P321" si="545">O321*I321</f>
        <v>21924</v>
      </c>
      <c r="Q321" s="65">
        <f t="shared" ref="Q321" si="546">P321+N321</f>
        <v>53494.559999999998</v>
      </c>
      <c r="R321" s="132"/>
      <c r="S321" s="170">
        <f t="shared" ref="S321" si="547">((((N321*(1+$D$7))+(P321*(1+$D$5+$D$6)))*(1+$D$8)))/I321</f>
        <v>3.8160193749999993</v>
      </c>
      <c r="T321" s="169">
        <f t="shared" ref="T321" si="548">S321*I321</f>
        <v>66929.927021999989</v>
      </c>
    </row>
    <row r="322" spans="1:21" s="7" customFormat="1" x14ac:dyDescent="0.25">
      <c r="A322" s="131">
        <f>IF(J322&lt;&gt;"",1+MAX($A$19:A321),"")</f>
        <v>224</v>
      </c>
      <c r="B322" s="53"/>
      <c r="C322" s="53"/>
      <c r="D322" s="106" t="s">
        <v>67</v>
      </c>
      <c r="E322" s="183" t="s">
        <v>97</v>
      </c>
      <c r="F322" s="179" t="s">
        <v>841</v>
      </c>
      <c r="G322" s="123">
        <v>3181</v>
      </c>
      <c r="H322" s="55">
        <f>IF(VLOOKUP(J322,'HOURLY RATES'!B$116:C$124,2,0)=0,$J$3,VLOOKUP(J322,'HOURLY RATES'!B$116:C$124,2,0))</f>
        <v>0.05</v>
      </c>
      <c r="I322" s="56">
        <f>(G322*(1+H322))</f>
        <v>3340.05</v>
      </c>
      <c r="J322" s="105" t="s">
        <v>250</v>
      </c>
      <c r="K322" s="394">
        <v>7.0000000000000007E-2</v>
      </c>
      <c r="L322" s="63">
        <f>K322*I322</f>
        <v>233.80350000000004</v>
      </c>
      <c r="M322" s="61">
        <f>IF(VLOOKUP(E322,'HOURLY RATES'!C$6:D$105,2,0)=0,$E$3,VLOOKUP(E322,'HOURLY RATES'!C$6:D$105,2,0))</f>
        <v>60</v>
      </c>
      <c r="N322" s="61">
        <f>M322*L322</f>
        <v>14028.210000000003</v>
      </c>
      <c r="O322" s="64">
        <v>5.5</v>
      </c>
      <c r="P322" s="64">
        <f>O322*I322</f>
        <v>18370.275000000001</v>
      </c>
      <c r="Q322" s="65">
        <f>P322+N322</f>
        <v>32398.485000000004</v>
      </c>
      <c r="R322" s="132"/>
      <c r="S322" s="170">
        <f>((((N322*(1+$D$7))+(P322*(1+$D$5+$D$6)))*(1+$D$8)))/I322</f>
        <v>12.259525249999999</v>
      </c>
      <c r="T322" s="169">
        <f>S322*I322</f>
        <v>40947.427311262501</v>
      </c>
    </row>
    <row r="323" spans="1:21" s="7" customFormat="1" x14ac:dyDescent="0.25">
      <c r="A323" s="131">
        <f>IF(J323&lt;&gt;"",1+MAX($A$19:A322),"")</f>
        <v>225</v>
      </c>
      <c r="B323" s="53"/>
      <c r="C323" s="53"/>
      <c r="D323" s="106" t="s">
        <v>67</v>
      </c>
      <c r="E323" s="183" t="s">
        <v>97</v>
      </c>
      <c r="F323" s="179" t="s">
        <v>815</v>
      </c>
      <c r="G323" s="123">
        <v>910</v>
      </c>
      <c r="H323" s="55">
        <f>IF(VLOOKUP(J323,'HOURLY RATES'!B$116:C$124,2,0)=0,$J$3,VLOOKUP(J323,'HOURLY RATES'!B$116:C$124,2,0))</f>
        <v>0.05</v>
      </c>
      <c r="I323" s="56">
        <f t="shared" ref="I323" si="549">(G323*(1+H323))</f>
        <v>955.5</v>
      </c>
      <c r="J323" s="105" t="s">
        <v>250</v>
      </c>
      <c r="K323" s="394">
        <v>0.123</v>
      </c>
      <c r="L323" s="63">
        <f t="shared" ref="L323:L324" si="550">K323*I323</f>
        <v>117.5265</v>
      </c>
      <c r="M323" s="61">
        <f>IF(VLOOKUP(E323,'HOURLY RATES'!C$6:D$105,2,0)=0,$E$3,VLOOKUP(E323,'HOURLY RATES'!C$6:D$105,2,0))</f>
        <v>60</v>
      </c>
      <c r="N323" s="61">
        <f t="shared" ref="N323:N324" si="551">M323*L323</f>
        <v>7051.59</v>
      </c>
      <c r="O323" s="64">
        <v>6.15</v>
      </c>
      <c r="P323" s="64">
        <f t="shared" ref="P323" si="552">O323*I323</f>
        <v>5876.3250000000007</v>
      </c>
      <c r="Q323" s="65">
        <f t="shared" ref="Q323" si="553">P323+N323</f>
        <v>12927.915000000001</v>
      </c>
      <c r="R323" s="132"/>
      <c r="S323" s="170">
        <f t="shared" ref="S323" si="554">((((N323*(1+$D$7))+(P323*(1+$D$5+$D$6)))*(1+$D$8)))/I323</f>
        <v>16.977047324999997</v>
      </c>
      <c r="T323" s="169">
        <f t="shared" ref="T323" si="555">S323*I323</f>
        <v>16221.568719037497</v>
      </c>
    </row>
    <row r="324" spans="1:21" s="7" customFormat="1" x14ac:dyDescent="0.25">
      <c r="A324" s="131">
        <f>IF(J324&lt;&gt;"",1+MAX($A$19:A323),"")</f>
        <v>226</v>
      </c>
      <c r="B324" s="53"/>
      <c r="C324" s="53"/>
      <c r="D324" s="106" t="s">
        <v>67</v>
      </c>
      <c r="E324" s="183" t="s">
        <v>97</v>
      </c>
      <c r="F324" s="179" t="s">
        <v>843</v>
      </c>
      <c r="G324" s="123">
        <v>200</v>
      </c>
      <c r="H324" s="55">
        <f>IF(VLOOKUP(J324,'HOURLY RATES'!B$116:C$124,2,0)=0,$J$3,VLOOKUP(J324,'HOURLY RATES'!B$116:C$124,2,0))</f>
        <v>0.05</v>
      </c>
      <c r="I324" s="56">
        <f t="shared" ref="I324" si="556">(G324*(1+H324))</f>
        <v>210</v>
      </c>
      <c r="J324" s="105" t="s">
        <v>250</v>
      </c>
      <c r="K324" s="394">
        <v>0.4</v>
      </c>
      <c r="L324" s="63">
        <f t="shared" si="550"/>
        <v>84</v>
      </c>
      <c r="M324" s="61">
        <f>IF(VLOOKUP(E324,'HOURLY RATES'!C$6:D$105,2,0)=0,$E$3,VLOOKUP(E324,'HOURLY RATES'!C$6:D$105,2,0))</f>
        <v>60</v>
      </c>
      <c r="N324" s="61">
        <f t="shared" si="551"/>
        <v>5040</v>
      </c>
      <c r="O324" s="64">
        <v>39</v>
      </c>
      <c r="P324" s="64">
        <f t="shared" ref="P324" si="557">O324*I324</f>
        <v>8190</v>
      </c>
      <c r="Q324" s="65">
        <f t="shared" ref="Q324" si="558">P324+N324</f>
        <v>13230</v>
      </c>
      <c r="R324" s="132"/>
      <c r="S324" s="170">
        <f t="shared" ref="S324" si="559">((((N324*(1+$D$7))+(P324*(1+$D$5+$D$6)))*(1+$D$8)))/I324</f>
        <v>79.888924499999987</v>
      </c>
      <c r="T324" s="169">
        <f t="shared" ref="T324" si="560">S324*I324</f>
        <v>16776.674144999997</v>
      </c>
    </row>
    <row r="325" spans="1:21" s="7" customFormat="1" x14ac:dyDescent="0.25">
      <c r="A325" s="131" t="str">
        <f>IF(J325&lt;&gt;"",1+MAX($A$19:A324),"")</f>
        <v/>
      </c>
      <c r="B325" s="53"/>
      <c r="C325" s="66"/>
      <c r="D325" s="106"/>
      <c r="E325" s="183"/>
      <c r="F325" s="107"/>
      <c r="G325" s="123"/>
      <c r="H325" s="55"/>
      <c r="I325" s="56"/>
      <c r="J325" s="105"/>
      <c r="K325" s="394"/>
      <c r="L325" s="63"/>
      <c r="M325" s="61"/>
      <c r="N325" s="61"/>
      <c r="O325" s="64"/>
      <c r="P325" s="64"/>
      <c r="Q325" s="65"/>
      <c r="R325" s="132"/>
      <c r="S325" s="170"/>
      <c r="T325" s="169"/>
    </row>
    <row r="326" spans="1:21" s="7" customFormat="1" x14ac:dyDescent="0.25">
      <c r="A326" s="216" t="str">
        <f>IF(J326&lt;&gt;"",1+MAX($A$19:A325),"")</f>
        <v/>
      </c>
      <c r="B326" s="216"/>
      <c r="C326" s="216"/>
      <c r="D326" s="216" t="s">
        <v>69</v>
      </c>
      <c r="E326" s="217"/>
      <c r="F326" s="218" t="s">
        <v>799</v>
      </c>
      <c r="G326" s="219"/>
      <c r="H326" s="218"/>
      <c r="I326" s="220"/>
      <c r="J326" s="220"/>
      <c r="K326" s="218"/>
      <c r="L326" s="218"/>
      <c r="M326" s="218"/>
      <c r="N326" s="218"/>
      <c r="O326" s="218"/>
      <c r="P326" s="218"/>
      <c r="Q326" s="218"/>
      <c r="R326" s="221">
        <f>SUM(Q327:Q339)</f>
        <v>13661.2462</v>
      </c>
      <c r="S326" s="168"/>
      <c r="T326" s="169"/>
      <c r="U326" s="13"/>
    </row>
    <row r="327" spans="1:21" s="7" customFormat="1" x14ac:dyDescent="0.25">
      <c r="A327" s="131" t="str">
        <f>IF(J327&lt;&gt;"",1+MAX($A$19:A326),"")</f>
        <v/>
      </c>
      <c r="B327" s="53"/>
      <c r="C327" s="66"/>
      <c r="D327" s="106"/>
      <c r="E327" s="183"/>
      <c r="F327" s="179" t="s">
        <v>248</v>
      </c>
      <c r="G327" s="123"/>
      <c r="H327" s="55"/>
      <c r="I327" s="56"/>
      <c r="J327" s="105"/>
      <c r="K327" s="394"/>
      <c r="L327" s="63"/>
      <c r="M327" s="61"/>
      <c r="N327" s="61"/>
      <c r="O327" s="64"/>
      <c r="P327" s="64"/>
      <c r="Q327" s="65"/>
      <c r="R327" s="132"/>
      <c r="S327" s="170"/>
      <c r="T327" s="169"/>
    </row>
    <row r="328" spans="1:21" s="7" customFormat="1" x14ac:dyDescent="0.25">
      <c r="A328" s="131" t="str">
        <f>IF(J328&lt;&gt;"",1+MAX($A$19:A327),"")</f>
        <v/>
      </c>
      <c r="B328" s="53"/>
      <c r="C328" s="66"/>
      <c r="D328" s="106"/>
      <c r="E328" s="183"/>
      <c r="F328" s="176" t="s">
        <v>239</v>
      </c>
      <c r="G328" s="54"/>
      <c r="H328" s="55"/>
      <c r="I328" s="56"/>
      <c r="J328" s="105"/>
      <c r="K328" s="394"/>
      <c r="L328" s="63"/>
      <c r="M328" s="61"/>
      <c r="N328" s="61"/>
      <c r="O328" s="64"/>
      <c r="P328" s="64"/>
      <c r="Q328" s="65"/>
      <c r="R328" s="132"/>
      <c r="S328" s="170"/>
      <c r="T328" s="169"/>
    </row>
    <row r="329" spans="1:21" s="7" customFormat="1" x14ac:dyDescent="0.25">
      <c r="A329" s="131">
        <f>IF(J329&lt;&gt;"",1+MAX($A$19:A328),"")</f>
        <v>227</v>
      </c>
      <c r="B329" s="53"/>
      <c r="C329" s="53"/>
      <c r="D329" s="106" t="s">
        <v>69</v>
      </c>
      <c r="E329" s="183" t="s">
        <v>108</v>
      </c>
      <c r="F329" s="177" t="s">
        <v>933</v>
      </c>
      <c r="G329" s="54">
        <v>1</v>
      </c>
      <c r="H329" s="55">
        <f>IF(VLOOKUP(J329,'HOURLY RATES'!B$116:C$124,2,0)=0,$J$3,VLOOKUP(J329,'HOURLY RATES'!B$116:C$124,2,0))</f>
        <v>0</v>
      </c>
      <c r="I329" s="56">
        <f t="shared" ref="I329" si="561">(G329*(1+H329))</f>
        <v>1</v>
      </c>
      <c r="J329" s="105" t="s">
        <v>251</v>
      </c>
      <c r="K329" s="394">
        <v>3.4</v>
      </c>
      <c r="L329" s="63">
        <f t="shared" ref="L329" si="562">K329*I329</f>
        <v>3.4</v>
      </c>
      <c r="M329" s="61">
        <f>IF(VLOOKUP(E329,'HOURLY RATES'!C$6:D$105,2,0)=0,$E$3,VLOOKUP(E329,'HOURLY RATES'!C$6:D$105,2,0))</f>
        <v>60</v>
      </c>
      <c r="N329" s="61">
        <f t="shared" ref="N329" si="563">M329*L329</f>
        <v>204</v>
      </c>
      <c r="O329" s="64">
        <v>450</v>
      </c>
      <c r="P329" s="64">
        <f t="shared" ref="P329" si="564">O329*I329</f>
        <v>450</v>
      </c>
      <c r="Q329" s="65">
        <f t="shared" ref="Q329" si="565">P329+N329</f>
        <v>654</v>
      </c>
      <c r="R329" s="132"/>
      <c r="S329" s="170">
        <f t="shared" ref="S329" si="566">((((N329*(1+$D$7))+(P329*(1+$D$5+$D$6)))*(1+$D$8)))/I329</f>
        <v>832.97497499999974</v>
      </c>
      <c r="T329" s="169">
        <f t="shared" ref="T329" si="567">S329*I329</f>
        <v>832.97497499999974</v>
      </c>
    </row>
    <row r="330" spans="1:21" s="7" customFormat="1" x14ac:dyDescent="0.25">
      <c r="A330" s="131" t="str">
        <f>IF(J330&lt;&gt;"",1+MAX($A$19:A329),"")</f>
        <v/>
      </c>
      <c r="B330" s="53"/>
      <c r="C330" s="66"/>
      <c r="D330" s="106"/>
      <c r="E330" s="183"/>
      <c r="F330" s="177" t="s">
        <v>248</v>
      </c>
      <c r="G330" s="54"/>
      <c r="H330" s="55"/>
      <c r="I330" s="56"/>
      <c r="J330" s="105"/>
      <c r="K330" s="394"/>
      <c r="L330" s="63"/>
      <c r="M330" s="61"/>
      <c r="N330" s="61"/>
      <c r="O330" s="64"/>
      <c r="P330" s="64"/>
      <c r="Q330" s="65"/>
      <c r="R330" s="173"/>
      <c r="S330" s="170"/>
      <c r="T330" s="169"/>
    </row>
    <row r="331" spans="1:21" s="7" customFormat="1" x14ac:dyDescent="0.25">
      <c r="A331" s="131" t="str">
        <f>IF(J331&lt;&gt;"",1+MAX($A$19:A330),"")</f>
        <v/>
      </c>
      <c r="B331" s="53"/>
      <c r="C331" s="66"/>
      <c r="D331" s="106"/>
      <c r="E331" s="183"/>
      <c r="F331" s="176" t="s">
        <v>759</v>
      </c>
      <c r="G331" s="54"/>
      <c r="H331" s="55"/>
      <c r="I331" s="56"/>
      <c r="J331" s="105"/>
      <c r="K331" s="394"/>
      <c r="L331" s="63"/>
      <c r="M331" s="61"/>
      <c r="N331" s="61"/>
      <c r="O331" s="64"/>
      <c r="P331" s="64"/>
      <c r="Q331" s="65"/>
      <c r="R331" s="132"/>
      <c r="S331" s="170"/>
      <c r="T331" s="169"/>
    </row>
    <row r="332" spans="1:21" s="7" customFormat="1" x14ac:dyDescent="0.25">
      <c r="A332" s="131">
        <f>IF(J332&lt;&gt;"",1+MAX($A$19:A331),"")</f>
        <v>228</v>
      </c>
      <c r="B332" s="53"/>
      <c r="C332" s="53"/>
      <c r="D332" s="106" t="s">
        <v>69</v>
      </c>
      <c r="E332" s="183" t="s">
        <v>108</v>
      </c>
      <c r="F332" s="177" t="s">
        <v>929</v>
      </c>
      <c r="G332" s="54">
        <v>11</v>
      </c>
      <c r="H332" s="55">
        <f>IF(VLOOKUP(J332,'HOURLY RATES'!B$116:C$124,2,0)=0,$J$3,VLOOKUP(J332,'HOURLY RATES'!B$116:C$124,2,0))</f>
        <v>0</v>
      </c>
      <c r="I332" s="56">
        <f t="shared" ref="I332" si="568">(G332*(1+H332))</f>
        <v>11</v>
      </c>
      <c r="J332" s="105" t="s">
        <v>251</v>
      </c>
      <c r="K332" s="394">
        <v>3.3</v>
      </c>
      <c r="L332" s="63">
        <f t="shared" ref="L332" si="569">K332*I332</f>
        <v>36.299999999999997</v>
      </c>
      <c r="M332" s="61">
        <f>IF(VLOOKUP(E332,'HOURLY RATES'!C$6:D$105,2,0)=0,$E$3,VLOOKUP(E332,'HOURLY RATES'!C$6:D$105,2,0))</f>
        <v>60</v>
      </c>
      <c r="N332" s="61">
        <f t="shared" ref="N332" si="570">M332*L332</f>
        <v>2178</v>
      </c>
      <c r="O332" s="64">
        <v>350</v>
      </c>
      <c r="P332" s="64">
        <f t="shared" ref="P332" si="571">O332*I332</f>
        <v>3850</v>
      </c>
      <c r="Q332" s="65">
        <f t="shared" ref="Q332" si="572">P332+N332</f>
        <v>6028</v>
      </c>
      <c r="R332" s="132"/>
      <c r="S332" s="170">
        <f t="shared" ref="S332" si="573">((((N332*(1+$D$7))+(P332*(1+$D$5+$D$6)))*(1+$D$8)))/I332</f>
        <v>695.77742499999988</v>
      </c>
      <c r="T332" s="169">
        <f t="shared" ref="T332" si="574">S332*I332</f>
        <v>7653.5516749999988</v>
      </c>
    </row>
    <row r="333" spans="1:21" s="7" customFormat="1" x14ac:dyDescent="0.25">
      <c r="A333" s="131">
        <f>IF(J333&lt;&gt;"",1+MAX($A$19:A332),"")</f>
        <v>229</v>
      </c>
      <c r="B333" s="53"/>
      <c r="C333" s="53"/>
      <c r="D333" s="106" t="s">
        <v>69</v>
      </c>
      <c r="E333" s="183" t="s">
        <v>108</v>
      </c>
      <c r="F333" s="177" t="s">
        <v>930</v>
      </c>
      <c r="G333" s="54">
        <v>8</v>
      </c>
      <c r="H333" s="55">
        <f>IF(VLOOKUP(J333,'HOURLY RATES'!B$116:C$124,2,0)=0,$J$3,VLOOKUP(J333,'HOURLY RATES'!B$116:C$124,2,0))</f>
        <v>0</v>
      </c>
      <c r="I333" s="56">
        <f t="shared" ref="I333" si="575">(G333*(1+H333))</f>
        <v>8</v>
      </c>
      <c r="J333" s="105" t="s">
        <v>251</v>
      </c>
      <c r="K333" s="394">
        <v>3.4</v>
      </c>
      <c r="L333" s="63">
        <f t="shared" ref="L333" si="576">K333*I333</f>
        <v>27.2</v>
      </c>
      <c r="M333" s="61">
        <f>IF(VLOOKUP(E333,'HOURLY RATES'!C$6:D$105,2,0)=0,$E$3,VLOOKUP(E333,'HOURLY RATES'!C$6:D$105,2,0))</f>
        <v>60</v>
      </c>
      <c r="N333" s="61">
        <f t="shared" ref="N333" si="577">M333*L333</f>
        <v>1632</v>
      </c>
      <c r="O333" s="64">
        <v>450</v>
      </c>
      <c r="P333" s="64">
        <f t="shared" ref="P333" si="578">O333*I333</f>
        <v>3600</v>
      </c>
      <c r="Q333" s="65">
        <f t="shared" ref="Q333" si="579">P333+N333</f>
        <v>5232</v>
      </c>
      <c r="R333" s="132"/>
      <c r="S333" s="170">
        <f t="shared" ref="S333" si="580">((((N333*(1+$D$7))+(P333*(1+$D$5+$D$6)))*(1+$D$8)))/I333</f>
        <v>832.97497499999974</v>
      </c>
      <c r="T333" s="169">
        <f t="shared" ref="T333" si="581">S333*I333</f>
        <v>6663.799799999998</v>
      </c>
    </row>
    <row r="334" spans="1:21" s="7" customFormat="1" x14ac:dyDescent="0.25">
      <c r="A334" s="131">
        <f>IF(J334&lt;&gt;"",1+MAX($A$19:A333),"")</f>
        <v>230</v>
      </c>
      <c r="B334" s="53"/>
      <c r="C334" s="53"/>
      <c r="D334" s="106" t="s">
        <v>69</v>
      </c>
      <c r="E334" s="183" t="s">
        <v>108</v>
      </c>
      <c r="F334" s="177" t="s">
        <v>931</v>
      </c>
      <c r="G334" s="54">
        <v>3</v>
      </c>
      <c r="H334" s="55">
        <f>IF(VLOOKUP(J334,'HOURLY RATES'!B$116:C$124,2,0)=0,$J$3,VLOOKUP(J334,'HOURLY RATES'!B$116:C$124,2,0))</f>
        <v>0</v>
      </c>
      <c r="I334" s="56">
        <f t="shared" ref="I334" si="582">(G334*(1+H334))</f>
        <v>3</v>
      </c>
      <c r="J334" s="105" t="s">
        <v>251</v>
      </c>
      <c r="K334" s="394">
        <v>2.25</v>
      </c>
      <c r="L334" s="63">
        <f t="shared" ref="L334" si="583">K334*I334</f>
        <v>6.75</v>
      </c>
      <c r="M334" s="61">
        <f>IF(VLOOKUP(E334,'HOURLY RATES'!C$6:D$105,2,0)=0,$E$3,VLOOKUP(E334,'HOURLY RATES'!C$6:D$105,2,0))</f>
        <v>60</v>
      </c>
      <c r="N334" s="61">
        <f t="shared" ref="N334" si="584">M334*L334</f>
        <v>405</v>
      </c>
      <c r="O334" s="64">
        <v>250</v>
      </c>
      <c r="P334" s="64">
        <f t="shared" ref="P334" si="585">O334*I334</f>
        <v>750</v>
      </c>
      <c r="Q334" s="65">
        <f t="shared" ref="Q334" si="586">P334+N334</f>
        <v>1155</v>
      </c>
      <c r="R334" s="132"/>
      <c r="S334" s="170">
        <f t="shared" ref="S334" si="587">((((N334*(1+$D$7))+(P334*(1+$D$5+$D$6)))*(1+$D$8)))/I334</f>
        <v>489.15387499999991</v>
      </c>
      <c r="T334" s="169">
        <f t="shared" ref="T334" si="588">S334*I334</f>
        <v>1467.4616249999997</v>
      </c>
    </row>
    <row r="335" spans="1:21" s="7" customFormat="1" x14ac:dyDescent="0.25">
      <c r="A335" s="131" t="str">
        <f>IF(J335&lt;&gt;"",1+MAX($A$19:A334),"")</f>
        <v/>
      </c>
      <c r="B335" s="53"/>
      <c r="C335" s="66"/>
      <c r="D335" s="106"/>
      <c r="E335" s="183"/>
      <c r="F335" s="177" t="s">
        <v>248</v>
      </c>
      <c r="G335" s="54"/>
      <c r="H335" s="55"/>
      <c r="I335" s="56"/>
      <c r="J335" s="105"/>
      <c r="K335" s="394"/>
      <c r="L335" s="63"/>
      <c r="M335" s="61"/>
      <c r="N335" s="61"/>
      <c r="O335" s="64"/>
      <c r="P335" s="64"/>
      <c r="Q335" s="65"/>
      <c r="R335" s="173"/>
      <c r="S335" s="170"/>
      <c r="T335" s="169"/>
    </row>
    <row r="336" spans="1:21" s="7" customFormat="1" x14ac:dyDescent="0.25">
      <c r="A336" s="131" t="str">
        <f>IF(J336&lt;&gt;"",1+MAX($A$19:A335),"")</f>
        <v/>
      </c>
      <c r="B336" s="53"/>
      <c r="C336" s="66"/>
      <c r="D336" s="106"/>
      <c r="E336" s="183"/>
      <c r="F336" s="176" t="s">
        <v>844</v>
      </c>
      <c r="G336" s="54"/>
      <c r="H336" s="55"/>
      <c r="I336" s="56"/>
      <c r="J336" s="105"/>
      <c r="K336" s="394"/>
      <c r="L336" s="63"/>
      <c r="M336" s="61"/>
      <c r="N336" s="61"/>
      <c r="O336" s="64"/>
      <c r="P336" s="64"/>
      <c r="Q336" s="65"/>
      <c r="R336" s="132"/>
      <c r="S336" s="170"/>
      <c r="T336" s="169"/>
    </row>
    <row r="337" spans="1:22" s="7" customFormat="1" x14ac:dyDescent="0.25">
      <c r="A337" s="131">
        <f>IF(J337&lt;&gt;"",1+MAX($A$19:A336),"")</f>
        <v>231</v>
      </c>
      <c r="B337" s="53"/>
      <c r="C337" s="53"/>
      <c r="D337" s="106" t="s">
        <v>69</v>
      </c>
      <c r="E337" s="183" t="s">
        <v>108</v>
      </c>
      <c r="F337" s="177" t="s">
        <v>845</v>
      </c>
      <c r="G337" s="54">
        <v>43.82</v>
      </c>
      <c r="H337" s="55">
        <f>IF(VLOOKUP(J337,'HOURLY RATES'!B$116:C$124,2,0)=0,$J$3,VLOOKUP(J337,'HOURLY RATES'!B$116:C$124,2,0))</f>
        <v>0.05</v>
      </c>
      <c r="I337" s="56">
        <f t="shared" ref="I337" si="589">(G337*(1+H337))</f>
        <v>46.011000000000003</v>
      </c>
      <c r="J337" s="105" t="s">
        <v>250</v>
      </c>
      <c r="K337" s="394">
        <v>0.04</v>
      </c>
      <c r="L337" s="63">
        <f t="shared" ref="L337" si="590">K337*I337</f>
        <v>1.8404400000000001</v>
      </c>
      <c r="M337" s="61">
        <f>IF(VLOOKUP(E337,'HOURLY RATES'!C$6:D$105,2,0)=0,$E$3,VLOOKUP(E337,'HOURLY RATES'!C$6:D$105,2,0))</f>
        <v>60</v>
      </c>
      <c r="N337" s="61">
        <f t="shared" ref="N337" si="591">M337*L337</f>
        <v>110.4264</v>
      </c>
      <c r="O337" s="64">
        <v>1.8</v>
      </c>
      <c r="P337" s="64">
        <f t="shared" ref="P337" si="592">O337*I337</f>
        <v>82.819800000000001</v>
      </c>
      <c r="Q337" s="65">
        <f t="shared" ref="Q337" si="593">P337+N337</f>
        <v>193.24619999999999</v>
      </c>
      <c r="R337" s="132"/>
      <c r="S337" s="170">
        <f t="shared" ref="S337" si="594">((((N337*(1+$D$7))+(P337*(1+$D$5+$D$6)))*(1+$D$8)))/I337</f>
        <v>5.2612118999999993</v>
      </c>
      <c r="T337" s="169">
        <f t="shared" ref="T337" si="595">S337*I337</f>
        <v>242.07362073089999</v>
      </c>
    </row>
    <row r="338" spans="1:22" s="7" customFormat="1" x14ac:dyDescent="0.25">
      <c r="A338" s="131">
        <f>IF(J338&lt;&gt;"",1+MAX($A$19:A337),"")</f>
        <v>232</v>
      </c>
      <c r="B338" s="53"/>
      <c r="C338" s="53"/>
      <c r="D338" s="106" t="s">
        <v>69</v>
      </c>
      <c r="E338" s="183" t="s">
        <v>108</v>
      </c>
      <c r="F338" s="177" t="s">
        <v>846</v>
      </c>
      <c r="G338" s="54">
        <v>20</v>
      </c>
      <c r="H338" s="55">
        <f>IF(VLOOKUP(J338,'HOURLY RATES'!B$116:C$124,2,0)=0,$J$3,VLOOKUP(J338,'HOURLY RATES'!B$116:C$124,2,0))</f>
        <v>0.05</v>
      </c>
      <c r="I338" s="56">
        <f t="shared" ref="I338" si="596">(G338*(1+H338))</f>
        <v>21</v>
      </c>
      <c r="J338" s="105" t="s">
        <v>250</v>
      </c>
      <c r="K338" s="394">
        <v>0.14499999999999999</v>
      </c>
      <c r="L338" s="63">
        <f t="shared" ref="L338" si="597">K338*I338</f>
        <v>3.0449999999999999</v>
      </c>
      <c r="M338" s="61">
        <f>IF(VLOOKUP(E338,'HOURLY RATES'!C$6:D$105,2,0)=0,$E$3,VLOOKUP(E338,'HOURLY RATES'!C$6:D$105,2,0))</f>
        <v>60</v>
      </c>
      <c r="N338" s="61">
        <f t="shared" ref="N338" si="598">M338*L338</f>
        <v>182.7</v>
      </c>
      <c r="O338" s="64">
        <v>10.3</v>
      </c>
      <c r="P338" s="64">
        <f t="shared" ref="P338" si="599">O338*I338</f>
        <v>216.3</v>
      </c>
      <c r="Q338" s="65">
        <f t="shared" ref="Q338" si="600">P338+N338</f>
        <v>399</v>
      </c>
      <c r="R338" s="132"/>
      <c r="S338" s="170">
        <f t="shared" ref="S338" si="601">((((N338*(1+$D$7))+(P338*(1+$D$5+$D$6)))*(1+$D$8)))/I338</f>
        <v>23.975223649999993</v>
      </c>
      <c r="T338" s="169">
        <f t="shared" ref="T338" si="602">S338*I338</f>
        <v>503.47969664999988</v>
      </c>
    </row>
    <row r="339" spans="1:22" s="7" customFormat="1" x14ac:dyDescent="0.25">
      <c r="A339" s="131" t="str">
        <f>IF(J339&lt;&gt;"",1+MAX($A$19:A338),"")</f>
        <v/>
      </c>
      <c r="B339" s="53"/>
      <c r="C339" s="66"/>
      <c r="D339" s="106"/>
      <c r="E339" s="183"/>
      <c r="F339" s="177" t="s">
        <v>248</v>
      </c>
      <c r="G339" s="54"/>
      <c r="H339" s="55"/>
      <c r="I339" s="56"/>
      <c r="J339" s="105"/>
      <c r="K339" s="394"/>
      <c r="L339" s="63"/>
      <c r="M339" s="61"/>
      <c r="N339" s="61"/>
      <c r="O339" s="64"/>
      <c r="P339" s="64"/>
      <c r="Q339" s="65"/>
      <c r="R339" s="173"/>
      <c r="S339" s="170"/>
      <c r="T339" s="169"/>
    </row>
    <row r="340" spans="1:22" s="7" customFormat="1" x14ac:dyDescent="0.25">
      <c r="A340" s="216" t="str">
        <f>IF(J340&lt;&gt;"",1+MAX($A$19:A339),"")</f>
        <v/>
      </c>
      <c r="B340" s="216"/>
      <c r="C340" s="216"/>
      <c r="D340" s="216" t="s">
        <v>71</v>
      </c>
      <c r="E340" s="217"/>
      <c r="F340" s="218" t="s">
        <v>72</v>
      </c>
      <c r="G340" s="219"/>
      <c r="H340" s="218"/>
      <c r="I340" s="220"/>
      <c r="J340" s="220"/>
      <c r="K340" s="218"/>
      <c r="L340" s="218"/>
      <c r="M340" s="218"/>
      <c r="N340" s="218"/>
      <c r="O340" s="218"/>
      <c r="P340" s="218"/>
      <c r="Q340" s="218"/>
      <c r="R340" s="221">
        <f>SUM(Q341:Q347)</f>
        <v>42102.899999999994</v>
      </c>
      <c r="S340" s="168"/>
      <c r="T340" s="169"/>
      <c r="U340" s="13"/>
    </row>
    <row r="341" spans="1:22" s="7" customFormat="1" x14ac:dyDescent="0.25">
      <c r="A341" s="131" t="str">
        <f>IF(J341&lt;&gt;"",1+MAX($A$19:A340),"")</f>
        <v/>
      </c>
      <c r="B341" s="114"/>
      <c r="C341" s="114"/>
      <c r="D341" s="115"/>
      <c r="E341" s="185"/>
      <c r="F341" s="107" t="s">
        <v>248</v>
      </c>
      <c r="G341" s="116"/>
      <c r="H341" s="117"/>
      <c r="I341" s="118"/>
      <c r="J341" s="399"/>
      <c r="K341" s="394"/>
      <c r="L341" s="119"/>
      <c r="M341" s="120"/>
      <c r="N341" s="120"/>
      <c r="O341" s="121"/>
      <c r="P341" s="121"/>
      <c r="Q341" s="122"/>
      <c r="R341" s="132"/>
      <c r="S341" s="170"/>
      <c r="T341" s="169"/>
    </row>
    <row r="342" spans="1:22" s="7" customFormat="1" x14ac:dyDescent="0.25">
      <c r="A342" s="131" t="str">
        <f>IF(J342&lt;&gt;"",1+MAX($A$19:A341),"")</f>
        <v/>
      </c>
      <c r="B342" s="53"/>
      <c r="C342" s="66"/>
      <c r="D342" s="106"/>
      <c r="E342" s="183"/>
      <c r="F342" s="176" t="s">
        <v>258</v>
      </c>
      <c r="G342" s="54"/>
      <c r="H342" s="55"/>
      <c r="I342" s="56"/>
      <c r="J342" s="105"/>
      <c r="K342" s="394"/>
      <c r="L342" s="63"/>
      <c r="M342" s="61"/>
      <c r="N342" s="61"/>
      <c r="O342" s="64"/>
      <c r="P342" s="64"/>
      <c r="Q342" s="65"/>
      <c r="R342" s="132"/>
      <c r="S342" s="170"/>
      <c r="T342" s="169"/>
    </row>
    <row r="343" spans="1:22" s="7" customFormat="1" x14ac:dyDescent="0.25">
      <c r="A343" s="131">
        <f>IF(J343&lt;&gt;"",1+MAX($A$19:A342),"")</f>
        <v>233</v>
      </c>
      <c r="B343" s="53"/>
      <c r="C343" s="66"/>
      <c r="D343" s="106" t="s">
        <v>71</v>
      </c>
      <c r="E343" s="183" t="s">
        <v>106</v>
      </c>
      <c r="F343" s="180" t="s">
        <v>800</v>
      </c>
      <c r="G343" s="113">
        <v>1040</v>
      </c>
      <c r="H343" s="55">
        <f>IF(VLOOKUP(J343,'HOURLY RATES'!B$116:C$124,2,0)=0,$J$3,VLOOKUP(J343,'HOURLY RATES'!B$116:C$124,2,0))</f>
        <v>0.05</v>
      </c>
      <c r="I343" s="56">
        <f t="shared" ref="I343" si="603">(G343*(1+H343))</f>
        <v>1092</v>
      </c>
      <c r="J343" s="105" t="s">
        <v>252</v>
      </c>
      <c r="K343" s="394">
        <v>0.38500000000000001</v>
      </c>
      <c r="L343" s="63">
        <f t="shared" ref="L343" si="604">K343*I343</f>
        <v>420.42</v>
      </c>
      <c r="M343" s="61">
        <f>IF(VLOOKUP(E343,'HOURLY RATES'!C$6:D$105,2,0)=0,$E$3,VLOOKUP(E343,'HOURLY RATES'!C$6:D$105,2,0))</f>
        <v>60</v>
      </c>
      <c r="N343" s="61">
        <f t="shared" ref="N343" si="605">M343*L343</f>
        <v>25225.200000000001</v>
      </c>
      <c r="O343" s="400">
        <v>0</v>
      </c>
      <c r="P343" s="64">
        <f t="shared" ref="P343" si="606">O343*I343</f>
        <v>0</v>
      </c>
      <c r="Q343" s="65">
        <f t="shared" ref="Q343" si="607">P343+N343</f>
        <v>25225.200000000001</v>
      </c>
      <c r="R343" s="132"/>
      <c r="S343" s="170">
        <f t="shared" ref="S343" si="608">((((N343*(1+$D$7))+(P343*(1+$D$5+$D$6)))*(1+$D$8)))/I343</f>
        <v>28.135799999999993</v>
      </c>
      <c r="T343" s="169">
        <f t="shared" ref="T343" si="609">S343*I343</f>
        <v>30724.293599999994</v>
      </c>
    </row>
    <row r="344" spans="1:22" s="7" customFormat="1" x14ac:dyDescent="0.25">
      <c r="A344" s="131" t="str">
        <f>IF(J344&lt;&gt;"",1+MAX($A$19:A343),"")</f>
        <v/>
      </c>
      <c r="B344" s="53"/>
      <c r="C344" s="66"/>
      <c r="D344" s="106"/>
      <c r="E344" s="183"/>
      <c r="F344" s="180" t="s">
        <v>248</v>
      </c>
      <c r="G344" s="54"/>
      <c r="H344" s="55"/>
      <c r="I344" s="56"/>
      <c r="J344" s="105"/>
      <c r="K344" s="394"/>
      <c r="L344" s="63"/>
      <c r="M344" s="61"/>
      <c r="N344" s="61"/>
      <c r="O344" s="64"/>
      <c r="P344" s="64"/>
      <c r="Q344" s="65"/>
      <c r="R344" s="132"/>
      <c r="S344" s="170"/>
      <c r="T344" s="169"/>
    </row>
    <row r="345" spans="1:22" s="7" customFormat="1" x14ac:dyDescent="0.25">
      <c r="A345" s="131" t="str">
        <f>IF(J345&lt;&gt;"",1+MAX($A$19:A344),"")</f>
        <v/>
      </c>
      <c r="B345" s="53"/>
      <c r="C345" s="66"/>
      <c r="D345" s="106"/>
      <c r="E345" s="183"/>
      <c r="F345" s="176" t="s">
        <v>259</v>
      </c>
      <c r="G345" s="54"/>
      <c r="H345" s="55"/>
      <c r="I345" s="56"/>
      <c r="J345" s="105"/>
      <c r="K345" s="394"/>
      <c r="L345" s="63"/>
      <c r="M345" s="61"/>
      <c r="N345" s="61"/>
      <c r="O345" s="64"/>
      <c r="P345" s="64"/>
      <c r="Q345" s="65"/>
      <c r="R345" s="132"/>
      <c r="S345" s="170"/>
      <c r="T345" s="169"/>
    </row>
    <row r="346" spans="1:22" s="7" customFormat="1" x14ac:dyDescent="0.25">
      <c r="A346" s="131">
        <f>IF(J346&lt;&gt;"",1+MAX($A$19:A345),"")</f>
        <v>234</v>
      </c>
      <c r="B346" s="53"/>
      <c r="C346" s="66"/>
      <c r="D346" s="106" t="s">
        <v>71</v>
      </c>
      <c r="E346" s="183" t="s">
        <v>106</v>
      </c>
      <c r="F346" s="180" t="s">
        <v>801</v>
      </c>
      <c r="G346" s="113">
        <v>940</v>
      </c>
      <c r="H346" s="55">
        <f>IF(VLOOKUP(J346,'HOURLY RATES'!B$116:C$124,2,0)=0,$J$3,VLOOKUP(J346,'HOURLY RATES'!B$116:C$124,2,0))</f>
        <v>0.05</v>
      </c>
      <c r="I346" s="56">
        <f t="shared" ref="I346" si="610">(G346*(1+H346))</f>
        <v>987</v>
      </c>
      <c r="J346" s="105" t="s">
        <v>252</v>
      </c>
      <c r="K346" s="394">
        <v>0.28499999999999998</v>
      </c>
      <c r="L346" s="63">
        <f t="shared" ref="L346" si="611">K346*I346</f>
        <v>281.29499999999996</v>
      </c>
      <c r="M346" s="61">
        <f>IF(VLOOKUP(E346,'HOURLY RATES'!C$6:D$105,2,0)=0,$E$3,VLOOKUP(E346,'HOURLY RATES'!C$6:D$105,2,0))</f>
        <v>60</v>
      </c>
      <c r="N346" s="61">
        <f t="shared" ref="N346" si="612">M346*L346</f>
        <v>16877.699999999997</v>
      </c>
      <c r="O346" s="400">
        <v>0</v>
      </c>
      <c r="P346" s="64">
        <f t="shared" ref="P346" si="613">O346*I346</f>
        <v>0</v>
      </c>
      <c r="Q346" s="65">
        <f t="shared" ref="Q346" si="614">P346+N346</f>
        <v>16877.699999999997</v>
      </c>
      <c r="R346" s="132"/>
      <c r="S346" s="170">
        <f>((((N346*(1+$D$7))+(P346*(1+$D$5+$D$6)))*(1+$D$8)))/I346</f>
        <v>20.827799999999993</v>
      </c>
      <c r="T346" s="169">
        <f>S346*I346</f>
        <v>20557.038599999993</v>
      </c>
    </row>
    <row r="347" spans="1:22" s="7" customFormat="1" x14ac:dyDescent="0.25">
      <c r="A347" s="143" t="str">
        <f>IF(J347&lt;&gt;"",1+MAX($A$18:A346),"")</f>
        <v/>
      </c>
      <c r="B347" s="144"/>
      <c r="C347" s="145"/>
      <c r="D347" s="146"/>
      <c r="E347" s="186"/>
      <c r="F347" s="182"/>
      <c r="G347" s="147"/>
      <c r="H347" s="148"/>
      <c r="I347" s="149"/>
      <c r="J347" s="150"/>
      <c r="K347" s="151"/>
      <c r="L347" s="152"/>
      <c r="M347" s="153"/>
      <c r="N347" s="153"/>
      <c r="O347" s="154"/>
      <c r="P347" s="154"/>
      <c r="Q347" s="155"/>
      <c r="R347" s="132"/>
      <c r="S347" s="170"/>
      <c r="T347" s="169"/>
    </row>
    <row r="348" spans="1:22" s="7" customFormat="1" x14ac:dyDescent="0.25">
      <c r="A348" s="309" t="s">
        <v>76</v>
      </c>
      <c r="B348" s="309"/>
      <c r="C348" s="312"/>
      <c r="D348" s="313"/>
      <c r="E348" s="313"/>
      <c r="F348" s="313"/>
      <c r="G348" s="313"/>
      <c r="H348" s="313"/>
      <c r="I348" s="313"/>
      <c r="J348" s="314"/>
      <c r="K348" s="157" t="s">
        <v>260</v>
      </c>
      <c r="L348" s="158">
        <f>SUM(L18:L347)</f>
        <v>10425.657025098089</v>
      </c>
      <c r="M348" s="156" t="s">
        <v>261</v>
      </c>
      <c r="N348" s="159">
        <f>SUM(N18:N347)</f>
        <v>625117.24150588503</v>
      </c>
      <c r="O348" s="156" t="s">
        <v>262</v>
      </c>
      <c r="P348" s="159">
        <f>SUM(P18:P347)</f>
        <v>690140.56546000019</v>
      </c>
      <c r="Q348" s="160">
        <f>SUM(Q18:Q347)</f>
        <v>1315257.8069658852</v>
      </c>
      <c r="R348" s="160">
        <f>SUM(R18:R347)</f>
        <v>1315257.8069658848</v>
      </c>
      <c r="S348" s="171"/>
      <c r="T348" s="172">
        <f>SUM(T18:T347)</f>
        <v>1657813.274997618</v>
      </c>
      <c r="U348" s="1"/>
      <c r="V348" s="1"/>
    </row>
    <row r="349" spans="1:22" s="7" customFormat="1" ht="16.2" thickBot="1" x14ac:dyDescent="0.3">
      <c r="A349" s="310" t="s">
        <v>77</v>
      </c>
      <c r="B349" s="311"/>
      <c r="C349" s="40"/>
      <c r="D349" s="40"/>
      <c r="E349" s="41"/>
      <c r="F349" s="42"/>
      <c r="G349" s="43"/>
      <c r="H349" s="43"/>
      <c r="I349" s="43"/>
      <c r="J349" s="40"/>
      <c r="K349" s="40"/>
      <c r="L349" s="40"/>
      <c r="M349" s="72">
        <f>D5</f>
        <v>7.9699999999999993E-2</v>
      </c>
      <c r="N349" s="73"/>
      <c r="O349" s="73"/>
      <c r="P349" s="73">
        <f>P348*M349</f>
        <v>55004.203067162009</v>
      </c>
      <c r="Q349" s="73">
        <f>P349+N349</f>
        <v>55004.203067162009</v>
      </c>
      <c r="R349" s="133">
        <f>Q349</f>
        <v>55004.203067162009</v>
      </c>
      <c r="S349" s="171"/>
      <c r="T349" s="171"/>
      <c r="U349" s="1"/>
      <c r="V349" s="1"/>
    </row>
    <row r="350" spans="1:22" s="7" customFormat="1" ht="16.8" thickTop="1" thickBot="1" x14ac:dyDescent="0.3">
      <c r="A350" s="134" t="s">
        <v>263</v>
      </c>
      <c r="B350" s="50"/>
      <c r="C350" s="44"/>
      <c r="D350" s="44"/>
      <c r="E350" s="45"/>
      <c r="F350" s="46"/>
      <c r="G350" s="47"/>
      <c r="H350" s="47"/>
      <c r="I350" s="47"/>
      <c r="J350" s="44"/>
      <c r="K350" s="44"/>
      <c r="L350" s="44"/>
      <c r="M350" s="51">
        <f>D6</f>
        <v>0.2</v>
      </c>
      <c r="N350" s="49"/>
      <c r="O350" s="49"/>
      <c r="P350" s="49">
        <f>P348*M350</f>
        <v>138028.11309200004</v>
      </c>
      <c r="Q350" s="49">
        <f>P350+N350</f>
        <v>138028.11309200004</v>
      </c>
      <c r="R350" s="135">
        <f>Q350</f>
        <v>138028.11309200004</v>
      </c>
      <c r="S350" s="171"/>
      <c r="T350" s="171"/>
      <c r="U350" s="1"/>
      <c r="V350" s="1"/>
    </row>
    <row r="351" spans="1:22" s="7" customFormat="1" ht="16.8" thickTop="1" thickBot="1" x14ac:dyDescent="0.3">
      <c r="A351" s="134" t="s">
        <v>264</v>
      </c>
      <c r="B351" s="50"/>
      <c r="C351" s="44"/>
      <c r="D351" s="44"/>
      <c r="E351" s="45"/>
      <c r="F351" s="46"/>
      <c r="G351" s="47"/>
      <c r="H351" s="47"/>
      <c r="I351" s="47"/>
      <c r="J351" s="44"/>
      <c r="K351" s="44"/>
      <c r="L351" s="44"/>
      <c r="M351" s="51">
        <f>D7</f>
        <v>0.2</v>
      </c>
      <c r="N351" s="49">
        <f>N348*M351</f>
        <v>125023.44830117701</v>
      </c>
      <c r="O351" s="49"/>
      <c r="P351" s="49"/>
      <c r="Q351" s="49">
        <f>P351+N351</f>
        <v>125023.44830117701</v>
      </c>
      <c r="R351" s="135">
        <f>Q351</f>
        <v>125023.44830117701</v>
      </c>
      <c r="S351" s="171"/>
      <c r="T351" s="171"/>
      <c r="U351" s="1"/>
      <c r="V351" s="1"/>
    </row>
    <row r="352" spans="1:22" s="7" customFormat="1" ht="16.8" thickTop="1" thickBot="1" x14ac:dyDescent="0.3">
      <c r="A352" s="301" t="s">
        <v>265</v>
      </c>
      <c r="B352" s="302"/>
      <c r="C352" s="44"/>
      <c r="D352" s="44"/>
      <c r="E352" s="45"/>
      <c r="F352" s="46"/>
      <c r="G352" s="47"/>
      <c r="H352" s="47"/>
      <c r="I352" s="47"/>
      <c r="J352" s="44"/>
      <c r="K352" s="44"/>
      <c r="L352" s="44"/>
      <c r="M352" s="48">
        <f>D8</f>
        <v>1.4999999999999999E-2</v>
      </c>
      <c r="N352" s="49">
        <f>(N348+N349+N350+N351)*M352</f>
        <v>11252.11034710593</v>
      </c>
      <c r="O352" s="49"/>
      <c r="P352" s="49">
        <f>(P348+P349+P350+P351)*M352</f>
        <v>13247.593224287431</v>
      </c>
      <c r="Q352" s="49">
        <f>P352+N352</f>
        <v>24499.703571393362</v>
      </c>
      <c r="R352" s="135">
        <f>Q352</f>
        <v>24499.703571393362</v>
      </c>
      <c r="S352" s="171"/>
      <c r="T352" s="171"/>
      <c r="U352" s="1"/>
      <c r="V352" s="1"/>
    </row>
    <row r="353" spans="1:22" s="7" customFormat="1" ht="16.2" thickTop="1" x14ac:dyDescent="0.25">
      <c r="A353" s="303" t="s">
        <v>80</v>
      </c>
      <c r="B353" s="304"/>
      <c r="C353" s="136"/>
      <c r="D353" s="136"/>
      <c r="E353" s="137"/>
      <c r="F353" s="138"/>
      <c r="G353" s="139"/>
      <c r="H353" s="139"/>
      <c r="I353" s="139"/>
      <c r="J353" s="136"/>
      <c r="K353" s="136"/>
      <c r="L353" s="136"/>
      <c r="M353" s="140"/>
      <c r="N353" s="141">
        <f>SUM(N348:N352)</f>
        <v>761392.80015416793</v>
      </c>
      <c r="O353" s="140"/>
      <c r="P353" s="141">
        <f>SUM(P348:P352)</f>
        <v>896420.47484344954</v>
      </c>
      <c r="Q353" s="141">
        <f>SUM(Q348:Q352)</f>
        <v>1657813.2749976178</v>
      </c>
      <c r="R353" s="142">
        <f>SUM(R348:R352)</f>
        <v>1657813.2749976174</v>
      </c>
      <c r="S353" s="171"/>
      <c r="T353" s="172">
        <f>T348</f>
        <v>1657813.274997618</v>
      </c>
      <c r="U353" s="1"/>
      <c r="V353" s="1"/>
    </row>
  </sheetData>
  <autoFilter ref="J1:J389" xr:uid="{00000000-0001-0000-0300-000000000000}"/>
  <mergeCells count="8">
    <mergeCell ref="A352:B352"/>
    <mergeCell ref="A353:B353"/>
    <mergeCell ref="A2:R2"/>
    <mergeCell ref="E16:F16"/>
    <mergeCell ref="B3:E3"/>
    <mergeCell ref="A348:B348"/>
    <mergeCell ref="A349:B349"/>
    <mergeCell ref="C348:J348"/>
  </mergeCells>
  <phoneticPr fontId="53" type="noConversion"/>
  <dataValidations count="1">
    <dataValidation type="list" allowBlank="1" showInputMessage="1" showErrorMessage="1" sqref="E66 E78" xr:uid="{00000000-0002-0000-0300-000000000000}">
      <formula1>#REF!</formula1>
    </dataValidation>
  </dataValidations>
  <hyperlinks>
    <hyperlink ref="B3:E3" location="'COST SUMMARY'!A1" display="CLICK HERE TO GO BACK TO COST SUMMARY" xr:uid="{00000000-0004-0000-0300-000000000000}"/>
  </hyperlinks>
  <printOptions horizontalCentered="1"/>
  <pageMargins left="0.25" right="0.25" top="0.75" bottom="0.75" header="0.3" footer="0.3"/>
  <pageSetup paperSize="9" scale="22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300-000001000000}">
          <x14:formula1>
            <xm:f>'HOURLY RATES'!$C$6:$C$105</xm:f>
          </x14:formula1>
          <xm:sqref>E21:E32 E63:E65 E57:E60 E50:E54 E318:E319 E34:E36 E343 E346 E275:E308 E337:E338 E101:E102 E235:E241 E329 E97:E98 E312:E315 E182 E111 E105 E186 E85 E126 E179 E211 E79:E80 E77 E122 E327 E68:E69 E268 E321:E325 E132 E117:E120 E332:E334 E247:E261 E228 E224 E40:E45</xm:sqref>
        </x14:dataValidation>
        <x14:dataValidation type="list" allowBlank="1" showInputMessage="1" showErrorMessage="1" xr:uid="{00000000-0002-0000-0300-000002000000}">
          <x14:formula1>
            <xm:f>'HOURLY RATES'!$B$116:$B$126</xm:f>
          </x14:formula1>
          <xm:sqref>J343 J346 J337:J338 J312:J315 J73:J75 J329 J327 J77:J241 J268 J321:J325 J332:J334 J247:J261 J275:J308 J318:J319 J20:J36 J38:J45 J48:J69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tabColor rgb="FFFFFF00"/>
    <pageSetUpPr fitToPage="1"/>
  </sheetPr>
  <dimension ref="A1:S77"/>
  <sheetViews>
    <sheetView showGridLines="0" zoomScale="70" zoomScaleNormal="70" workbookViewId="0">
      <selection sqref="A1:S4"/>
    </sheetView>
  </sheetViews>
  <sheetFormatPr defaultColWidth="8.81640625" defaultRowHeight="15.6" x14ac:dyDescent="0.3"/>
  <cols>
    <col min="1" max="15" width="8.81640625" style="76"/>
    <col min="16" max="17" width="9.1796875" style="76" customWidth="1"/>
    <col min="18" max="16384" width="8.81640625" style="76"/>
  </cols>
  <sheetData>
    <row r="1" spans="1:19" ht="15.6" customHeight="1" x14ac:dyDescent="0.3">
      <c r="A1" s="320" t="s">
        <v>0</v>
      </c>
      <c r="B1" s="321"/>
      <c r="C1" s="321"/>
      <c r="D1" s="321"/>
      <c r="E1" s="321"/>
      <c r="F1" s="321"/>
      <c r="G1" s="321"/>
      <c r="H1" s="321"/>
      <c r="I1" s="321"/>
      <c r="J1" s="321"/>
      <c r="K1" s="321"/>
      <c r="L1" s="321"/>
      <c r="M1" s="321"/>
      <c r="N1" s="321"/>
      <c r="O1" s="321"/>
      <c r="P1" s="321"/>
      <c r="Q1" s="321"/>
      <c r="R1" s="321"/>
      <c r="S1" s="322"/>
    </row>
    <row r="2" spans="1:19" s="77" customFormat="1" ht="20.399999999999999" customHeight="1" x14ac:dyDescent="0.4">
      <c r="A2" s="323"/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4"/>
      <c r="P2" s="324"/>
      <c r="Q2" s="324"/>
      <c r="R2" s="324"/>
      <c r="S2" s="325"/>
    </row>
    <row r="3" spans="1:19" ht="15.6" customHeight="1" x14ac:dyDescent="0.3">
      <c r="A3" s="323"/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  <c r="N3" s="324"/>
      <c r="O3" s="324"/>
      <c r="P3" s="324"/>
      <c r="Q3" s="324"/>
      <c r="R3" s="324"/>
      <c r="S3" s="325"/>
    </row>
    <row r="4" spans="1:19" ht="15.6" customHeight="1" x14ac:dyDescent="0.3">
      <c r="A4" s="326"/>
      <c r="B4" s="327"/>
      <c r="C4" s="327"/>
      <c r="D4" s="327"/>
      <c r="E4" s="327"/>
      <c r="F4" s="327"/>
      <c r="G4" s="327"/>
      <c r="H4" s="327"/>
      <c r="I4" s="327"/>
      <c r="J4" s="327"/>
      <c r="K4" s="327"/>
      <c r="L4" s="327"/>
      <c r="M4" s="327"/>
      <c r="N4" s="327"/>
      <c r="O4" s="327"/>
      <c r="P4" s="327"/>
      <c r="Q4" s="327"/>
      <c r="R4" s="327"/>
      <c r="S4" s="328"/>
    </row>
    <row r="5" spans="1:19" x14ac:dyDescent="0.3">
      <c r="A5" s="222"/>
      <c r="S5" s="223"/>
    </row>
    <row r="6" spans="1:19" s="78" customFormat="1" ht="21.6" thickBot="1" x14ac:dyDescent="0.45">
      <c r="A6" s="224"/>
      <c r="B6" s="329"/>
      <c r="C6" s="329"/>
      <c r="D6" s="225"/>
      <c r="E6" s="330"/>
      <c r="F6" s="330"/>
      <c r="G6" s="225"/>
      <c r="H6" s="331"/>
      <c r="I6" s="331"/>
      <c r="J6" s="225"/>
      <c r="K6" s="332"/>
      <c r="L6" s="332"/>
      <c r="M6" s="225"/>
      <c r="N6" s="333"/>
      <c r="O6" s="333"/>
      <c r="P6" s="225"/>
      <c r="Q6" s="334"/>
      <c r="R6" s="334"/>
      <c r="S6" s="226"/>
    </row>
    <row r="7" spans="1:19" x14ac:dyDescent="0.3">
      <c r="A7" s="222"/>
      <c r="S7" s="223"/>
    </row>
    <row r="8" spans="1:19" x14ac:dyDescent="0.3">
      <c r="A8" s="222"/>
      <c r="S8" s="223"/>
    </row>
    <row r="9" spans="1:19" x14ac:dyDescent="0.3">
      <c r="A9" s="222"/>
      <c r="S9" s="223"/>
    </row>
    <row r="10" spans="1:19" x14ac:dyDescent="0.3">
      <c r="A10" s="222"/>
      <c r="S10" s="223"/>
    </row>
    <row r="11" spans="1:19" x14ac:dyDescent="0.3">
      <c r="A11" s="222"/>
      <c r="S11" s="223"/>
    </row>
    <row r="12" spans="1:19" ht="21" x14ac:dyDescent="0.4">
      <c r="A12" s="222"/>
      <c r="B12" s="225"/>
      <c r="K12" s="225"/>
      <c r="S12" s="223"/>
    </row>
    <row r="13" spans="1:19" x14ac:dyDescent="0.3">
      <c r="A13" s="222"/>
      <c r="S13" s="223"/>
    </row>
    <row r="14" spans="1:19" ht="18" x14ac:dyDescent="0.35">
      <c r="A14" s="222"/>
      <c r="B14" s="227"/>
      <c r="C14" s="227"/>
      <c r="D14" s="227"/>
      <c r="E14" s="227"/>
      <c r="F14" s="227"/>
      <c r="G14" s="227"/>
      <c r="H14" s="227"/>
      <c r="I14" s="227"/>
      <c r="K14" s="317"/>
      <c r="L14" s="317"/>
      <c r="M14" s="317"/>
      <c r="N14" s="317"/>
      <c r="O14" s="317"/>
      <c r="P14" s="317"/>
      <c r="Q14" s="317"/>
      <c r="R14" s="317"/>
      <c r="S14" s="223"/>
    </row>
    <row r="15" spans="1:19" x14ac:dyDescent="0.3">
      <c r="A15" s="222"/>
      <c r="B15" s="228"/>
      <c r="C15" s="228"/>
      <c r="D15" s="228"/>
      <c r="E15" s="228"/>
      <c r="F15" s="79"/>
      <c r="G15" s="79"/>
      <c r="H15" s="80"/>
      <c r="I15" s="80"/>
      <c r="K15" s="228"/>
      <c r="L15" s="228"/>
      <c r="M15" s="228"/>
      <c r="N15" s="228"/>
      <c r="O15" s="228"/>
      <c r="P15" s="228"/>
      <c r="Q15" s="335"/>
      <c r="R15" s="335"/>
      <c r="S15" s="223"/>
    </row>
    <row r="16" spans="1:19" x14ac:dyDescent="0.3">
      <c r="A16" s="222"/>
      <c r="B16" s="228"/>
      <c r="C16" s="228"/>
      <c r="D16" s="228"/>
      <c r="E16" s="228"/>
      <c r="F16" s="79"/>
      <c r="G16" s="79"/>
      <c r="I16" s="80"/>
      <c r="K16" s="228"/>
      <c r="L16" s="228"/>
      <c r="M16" s="228"/>
      <c r="N16" s="228"/>
      <c r="O16" s="228"/>
      <c r="P16" s="228"/>
      <c r="Q16" s="335"/>
      <c r="R16" s="335"/>
      <c r="S16" s="223"/>
    </row>
    <row r="17" spans="1:19" x14ac:dyDescent="0.3">
      <c r="A17" s="222"/>
      <c r="B17" s="228"/>
      <c r="C17" s="228"/>
      <c r="D17" s="228"/>
      <c r="E17" s="228"/>
      <c r="F17" s="79"/>
      <c r="G17" s="79"/>
      <c r="I17" s="229"/>
      <c r="K17" s="228"/>
      <c r="L17" s="228"/>
      <c r="M17" s="228"/>
      <c r="N17" s="228"/>
      <c r="O17" s="228"/>
      <c r="P17" s="228"/>
      <c r="S17" s="223"/>
    </row>
    <row r="18" spans="1:19" x14ac:dyDescent="0.3">
      <c r="A18" s="222"/>
      <c r="B18" s="228"/>
      <c r="C18" s="228"/>
      <c r="D18" s="228"/>
      <c r="E18" s="228"/>
      <c r="F18" s="79"/>
      <c r="G18" s="79"/>
      <c r="H18" s="229"/>
      <c r="I18" s="229"/>
      <c r="K18" s="228"/>
      <c r="L18" s="228"/>
      <c r="M18" s="228"/>
      <c r="N18" s="228"/>
      <c r="O18" s="228"/>
      <c r="P18" s="228"/>
      <c r="Q18" s="228"/>
      <c r="R18" s="228"/>
      <c r="S18" s="223"/>
    </row>
    <row r="19" spans="1:19" ht="15.6" customHeight="1" x14ac:dyDescent="0.3">
      <c r="A19" s="222"/>
      <c r="B19" s="228"/>
      <c r="C19" s="228"/>
      <c r="D19" s="228"/>
      <c r="E19" s="228"/>
      <c r="F19" s="79"/>
      <c r="G19" s="79"/>
      <c r="H19" s="229"/>
      <c r="I19" s="229"/>
      <c r="K19" s="230"/>
      <c r="L19" s="230"/>
      <c r="M19" s="230"/>
      <c r="N19" s="230"/>
      <c r="O19" s="230"/>
      <c r="P19" s="230"/>
      <c r="Q19" s="230"/>
      <c r="R19" s="230"/>
      <c r="S19" s="223"/>
    </row>
    <row r="20" spans="1:19" ht="15.6" customHeight="1" x14ac:dyDescent="0.3">
      <c r="A20" s="222"/>
      <c r="B20" s="228"/>
      <c r="C20" s="228"/>
      <c r="D20" s="228"/>
      <c r="E20" s="228"/>
      <c r="F20" s="79"/>
      <c r="G20" s="79"/>
      <c r="H20" s="229"/>
      <c r="I20" s="229"/>
      <c r="K20" s="230"/>
      <c r="L20" s="230"/>
      <c r="M20" s="230"/>
      <c r="N20" s="230"/>
      <c r="O20" s="230"/>
      <c r="P20" s="230"/>
      <c r="Q20" s="230"/>
      <c r="R20" s="230"/>
      <c r="S20" s="223"/>
    </row>
    <row r="21" spans="1:19" x14ac:dyDescent="0.3">
      <c r="A21" s="222"/>
      <c r="S21" s="223"/>
    </row>
    <row r="22" spans="1:19" ht="21" x14ac:dyDescent="0.4">
      <c r="A22" s="222"/>
      <c r="K22" s="225"/>
      <c r="S22" s="223"/>
    </row>
    <row r="23" spans="1:19" x14ac:dyDescent="0.3">
      <c r="A23" s="222"/>
      <c r="S23" s="223"/>
    </row>
    <row r="24" spans="1:19" x14ac:dyDescent="0.3">
      <c r="A24" s="222"/>
      <c r="S24" s="223"/>
    </row>
    <row r="25" spans="1:19" x14ac:dyDescent="0.3">
      <c r="A25" s="222"/>
      <c r="S25" s="223"/>
    </row>
    <row r="26" spans="1:19" s="81" customFormat="1" ht="18" x14ac:dyDescent="0.35">
      <c r="A26" s="231"/>
      <c r="K26" s="227"/>
      <c r="L26" s="227"/>
      <c r="M26" s="227"/>
      <c r="N26" s="227"/>
      <c r="O26" s="227"/>
      <c r="P26" s="227"/>
      <c r="Q26" s="227"/>
      <c r="R26" s="227"/>
      <c r="S26" s="223"/>
    </row>
    <row r="27" spans="1:19" x14ac:dyDescent="0.3">
      <c r="A27" s="222"/>
      <c r="K27" s="228"/>
      <c r="L27" s="228"/>
      <c r="M27" s="228"/>
      <c r="N27" s="228"/>
      <c r="O27" s="228"/>
      <c r="P27" s="228"/>
      <c r="Q27" s="228"/>
      <c r="R27" s="82"/>
      <c r="S27" s="223"/>
    </row>
    <row r="28" spans="1:19" x14ac:dyDescent="0.3">
      <c r="A28" s="222"/>
      <c r="K28" s="228"/>
      <c r="L28" s="228"/>
      <c r="M28" s="228"/>
      <c r="N28" s="228"/>
      <c r="O28" s="228"/>
      <c r="P28" s="228"/>
      <c r="Q28" s="228"/>
      <c r="R28" s="82"/>
      <c r="S28" s="223"/>
    </row>
    <row r="29" spans="1:19" x14ac:dyDescent="0.3">
      <c r="A29" s="222"/>
      <c r="K29" s="228"/>
      <c r="L29" s="228"/>
      <c r="M29" s="228"/>
      <c r="N29" s="228"/>
      <c r="O29" s="228"/>
      <c r="P29" s="228"/>
      <c r="Q29" s="228"/>
      <c r="R29" s="82"/>
      <c r="S29" s="223"/>
    </row>
    <row r="30" spans="1:19" x14ac:dyDescent="0.3">
      <c r="A30" s="222"/>
      <c r="K30" s="228"/>
      <c r="L30" s="228"/>
      <c r="M30" s="228"/>
      <c r="N30" s="228"/>
      <c r="O30" s="228"/>
      <c r="P30" s="228"/>
      <c r="Q30" s="228"/>
      <c r="R30" s="82"/>
      <c r="S30" s="223"/>
    </row>
    <row r="31" spans="1:19" x14ac:dyDescent="0.3">
      <c r="A31" s="222"/>
      <c r="K31" s="228"/>
      <c r="L31" s="228"/>
      <c r="M31" s="228"/>
      <c r="N31" s="228"/>
      <c r="O31" s="228"/>
      <c r="P31" s="228"/>
      <c r="Q31" s="228"/>
      <c r="R31" s="82"/>
      <c r="S31" s="223"/>
    </row>
    <row r="32" spans="1:19" x14ac:dyDescent="0.3">
      <c r="A32" s="222"/>
      <c r="K32" s="228"/>
      <c r="L32" s="228"/>
      <c r="M32" s="228"/>
      <c r="N32" s="228"/>
      <c r="O32" s="228"/>
      <c r="P32" s="228"/>
      <c r="Q32" s="228"/>
      <c r="R32" s="82"/>
      <c r="S32" s="223"/>
    </row>
    <row r="33" spans="1:19" x14ac:dyDescent="0.3">
      <c r="A33" s="222"/>
      <c r="K33" s="228"/>
      <c r="L33" s="228"/>
      <c r="M33" s="228"/>
      <c r="N33" s="228"/>
      <c r="O33" s="228"/>
      <c r="P33" s="228"/>
      <c r="Q33" s="228"/>
      <c r="R33" s="82"/>
      <c r="S33" s="223"/>
    </row>
    <row r="34" spans="1:19" x14ac:dyDescent="0.3">
      <c r="A34" s="222"/>
      <c r="K34" s="228"/>
      <c r="L34" s="228"/>
      <c r="M34" s="228"/>
      <c r="N34" s="228"/>
      <c r="O34" s="228"/>
      <c r="P34" s="228"/>
      <c r="Q34" s="228"/>
      <c r="R34" s="82"/>
      <c r="S34" s="223"/>
    </row>
    <row r="35" spans="1:19" x14ac:dyDescent="0.3">
      <c r="A35" s="315"/>
      <c r="B35" s="316"/>
      <c r="C35" s="316"/>
      <c r="D35" s="316"/>
      <c r="I35" s="319" t="s">
        <v>1</v>
      </c>
      <c r="J35" s="319"/>
      <c r="K35" s="319"/>
      <c r="L35" s="319"/>
      <c r="M35" s="228"/>
      <c r="N35" s="228"/>
      <c r="O35" s="228"/>
      <c r="P35" s="228"/>
      <c r="Q35" s="228"/>
      <c r="R35" s="82"/>
      <c r="S35" s="223"/>
    </row>
    <row r="36" spans="1:19" x14ac:dyDescent="0.3">
      <c r="A36" s="222"/>
      <c r="Q36" s="228"/>
      <c r="R36" s="82"/>
      <c r="S36" s="223"/>
    </row>
    <row r="37" spans="1:19" x14ac:dyDescent="0.3">
      <c r="A37" s="222" t="s">
        <v>2</v>
      </c>
      <c r="K37" s="228"/>
      <c r="L37" s="232"/>
      <c r="M37" s="228"/>
      <c r="N37" s="228"/>
      <c r="O37" s="228"/>
      <c r="P37" s="228"/>
      <c r="Q37" s="228"/>
      <c r="R37" s="82"/>
      <c r="S37" s="223"/>
    </row>
    <row r="38" spans="1:19" ht="15.6" customHeight="1" x14ac:dyDescent="0.3">
      <c r="A38" s="222"/>
      <c r="B38" s="233"/>
      <c r="C38" s="233"/>
      <c r="D38" s="233"/>
      <c r="E38" s="233"/>
      <c r="F38" s="233"/>
      <c r="G38" s="233"/>
      <c r="H38" s="233"/>
      <c r="K38" s="318"/>
      <c r="L38" s="318"/>
      <c r="M38" s="318"/>
      <c r="N38" s="318"/>
      <c r="P38" s="228"/>
      <c r="Q38" s="228"/>
      <c r="R38" s="82"/>
      <c r="S38" s="223"/>
    </row>
    <row r="39" spans="1:19" ht="15.6" customHeight="1" x14ac:dyDescent="0.3">
      <c r="A39" s="222"/>
      <c r="B39" s="233"/>
      <c r="C39" s="233"/>
      <c r="D39" s="233"/>
      <c r="E39" s="233"/>
      <c r="F39" s="233"/>
      <c r="G39" s="233"/>
      <c r="H39" s="233"/>
      <c r="I39" s="233"/>
      <c r="K39" s="228"/>
      <c r="L39" s="228"/>
      <c r="M39" s="228"/>
      <c r="N39" s="228"/>
      <c r="O39" s="228"/>
      <c r="P39" s="228"/>
      <c r="Q39" s="228"/>
      <c r="R39" s="82"/>
      <c r="S39" s="223"/>
    </row>
    <row r="40" spans="1:19" x14ac:dyDescent="0.3">
      <c r="A40" s="222"/>
      <c r="K40" s="228"/>
      <c r="L40" s="228"/>
      <c r="M40" s="228"/>
      <c r="N40" s="228"/>
      <c r="O40" s="228"/>
      <c r="P40" s="228"/>
      <c r="R40" s="82"/>
      <c r="S40" s="223"/>
    </row>
    <row r="41" spans="1:19" x14ac:dyDescent="0.3">
      <c r="A41" s="222"/>
      <c r="K41" s="228"/>
      <c r="L41" s="228"/>
      <c r="M41" s="228"/>
      <c r="N41" s="228"/>
      <c r="O41" s="228"/>
      <c r="P41" s="228"/>
      <c r="R41" s="82"/>
      <c r="S41" s="223"/>
    </row>
    <row r="42" spans="1:19" ht="18" x14ac:dyDescent="0.35">
      <c r="A42" s="222"/>
      <c r="B42" s="227"/>
      <c r="C42" s="227"/>
      <c r="D42" s="227"/>
      <c r="E42" s="227"/>
      <c r="F42" s="227"/>
      <c r="G42" s="227"/>
      <c r="H42" s="227"/>
      <c r="I42" s="227"/>
      <c r="K42" s="228"/>
      <c r="L42" s="228"/>
      <c r="M42" s="228"/>
      <c r="N42" s="228"/>
      <c r="O42" s="228"/>
      <c r="P42" s="228"/>
      <c r="R42" s="82"/>
      <c r="S42" s="223"/>
    </row>
    <row r="43" spans="1:19" x14ac:dyDescent="0.3">
      <c r="A43" s="222"/>
      <c r="B43" s="228"/>
      <c r="C43" s="228"/>
      <c r="D43" s="228"/>
      <c r="E43" s="228"/>
      <c r="F43" s="228"/>
      <c r="G43" s="228"/>
      <c r="H43" s="228"/>
      <c r="I43" s="82"/>
      <c r="K43" s="228"/>
      <c r="L43" s="228"/>
      <c r="M43" s="228"/>
      <c r="N43" s="228"/>
      <c r="O43" s="228"/>
      <c r="P43" s="228"/>
      <c r="R43" s="82"/>
      <c r="S43" s="223"/>
    </row>
    <row r="44" spans="1:19" x14ac:dyDescent="0.3">
      <c r="A44" s="222"/>
      <c r="B44" s="228"/>
      <c r="C44" s="228"/>
      <c r="D44" s="228"/>
      <c r="E44" s="228"/>
      <c r="F44" s="228"/>
      <c r="G44" s="228"/>
      <c r="H44" s="228"/>
      <c r="I44" s="82"/>
      <c r="K44" s="228"/>
      <c r="L44" s="228"/>
      <c r="M44" s="228"/>
      <c r="N44" s="228"/>
      <c r="O44" s="228"/>
      <c r="P44" s="228"/>
      <c r="R44" s="82"/>
      <c r="S44" s="223"/>
    </row>
    <row r="45" spans="1:19" x14ac:dyDescent="0.3">
      <c r="A45" s="222"/>
      <c r="B45" s="228"/>
      <c r="C45" s="228"/>
      <c r="D45" s="228"/>
      <c r="E45" s="228"/>
      <c r="F45" s="228"/>
      <c r="G45" s="228"/>
      <c r="H45" s="228"/>
      <c r="I45" s="82"/>
      <c r="K45" s="228"/>
      <c r="L45" s="228"/>
      <c r="M45" s="228"/>
      <c r="N45" s="228"/>
      <c r="O45" s="228"/>
      <c r="P45" s="228"/>
      <c r="R45" s="82"/>
      <c r="S45" s="223"/>
    </row>
    <row r="46" spans="1:19" x14ac:dyDescent="0.3">
      <c r="A46" s="222"/>
      <c r="B46" s="228"/>
      <c r="C46" s="228"/>
      <c r="D46" s="228"/>
      <c r="E46" s="228"/>
      <c r="F46" s="228"/>
      <c r="G46" s="228"/>
      <c r="H46" s="228"/>
      <c r="I46" s="82"/>
      <c r="K46" s="228"/>
      <c r="L46" s="228"/>
      <c r="M46" s="228"/>
      <c r="N46" s="228"/>
      <c r="O46" s="228"/>
      <c r="P46" s="228"/>
      <c r="R46" s="82"/>
      <c r="S46" s="223"/>
    </row>
    <row r="47" spans="1:19" x14ac:dyDescent="0.3">
      <c r="A47" s="222"/>
      <c r="B47" s="228"/>
      <c r="C47" s="228"/>
      <c r="D47" s="228"/>
      <c r="E47" s="228"/>
      <c r="F47" s="228"/>
      <c r="G47" s="228"/>
      <c r="H47" s="228"/>
      <c r="I47" s="82"/>
      <c r="K47" s="228"/>
      <c r="L47" s="228"/>
      <c r="M47" s="228"/>
      <c r="N47" s="228"/>
      <c r="O47" s="228"/>
      <c r="P47" s="228"/>
      <c r="R47" s="82"/>
      <c r="S47" s="223"/>
    </row>
    <row r="48" spans="1:19" x14ac:dyDescent="0.3">
      <c r="A48" s="222"/>
      <c r="B48" s="228"/>
      <c r="C48" s="228"/>
      <c r="D48" s="228"/>
      <c r="E48" s="228"/>
      <c r="F48" s="228"/>
      <c r="G48" s="228"/>
      <c r="H48" s="228"/>
      <c r="I48" s="82"/>
      <c r="K48" s="228"/>
      <c r="L48" s="228"/>
      <c r="M48" s="228"/>
      <c r="N48" s="228"/>
      <c r="O48" s="228"/>
      <c r="P48" s="228"/>
      <c r="R48" s="82"/>
      <c r="S48" s="223"/>
    </row>
    <row r="49" spans="1:19" x14ac:dyDescent="0.3">
      <c r="A49" s="222"/>
      <c r="B49" s="228"/>
      <c r="C49" s="228"/>
      <c r="D49" s="228"/>
      <c r="E49" s="228"/>
      <c r="F49" s="228"/>
      <c r="G49" s="228"/>
      <c r="H49" s="228"/>
      <c r="I49" s="82"/>
      <c r="K49" s="228"/>
      <c r="L49" s="228"/>
      <c r="M49" s="228"/>
      <c r="N49" s="228"/>
      <c r="O49" s="228"/>
      <c r="P49" s="228"/>
      <c r="R49" s="82"/>
      <c r="S49" s="223"/>
    </row>
    <row r="50" spans="1:19" x14ac:dyDescent="0.3">
      <c r="A50" s="222"/>
      <c r="B50" s="228"/>
      <c r="C50" s="228"/>
      <c r="D50" s="228"/>
      <c r="E50" s="228"/>
      <c r="F50" s="228"/>
      <c r="G50" s="228"/>
      <c r="H50" s="228"/>
      <c r="I50" s="82"/>
      <c r="K50" s="228"/>
      <c r="L50" s="228"/>
      <c r="M50" s="228"/>
      <c r="N50" s="228"/>
      <c r="O50" s="228"/>
      <c r="P50" s="228"/>
      <c r="R50" s="82"/>
      <c r="S50" s="223"/>
    </row>
    <row r="51" spans="1:19" x14ac:dyDescent="0.3">
      <c r="A51" s="222"/>
      <c r="B51" s="228"/>
      <c r="C51" s="228"/>
      <c r="D51" s="228"/>
      <c r="E51" s="228"/>
      <c r="F51" s="228"/>
      <c r="G51" s="228"/>
      <c r="H51" s="228"/>
      <c r="I51" s="82"/>
      <c r="K51" s="228"/>
      <c r="L51" s="228"/>
      <c r="M51" s="228"/>
      <c r="N51" s="228"/>
      <c r="O51" s="228"/>
      <c r="P51" s="228"/>
      <c r="R51" s="82"/>
      <c r="S51" s="223"/>
    </row>
    <row r="52" spans="1:19" x14ac:dyDescent="0.3">
      <c r="A52" s="222"/>
      <c r="B52" s="228"/>
      <c r="C52" s="228"/>
      <c r="D52" s="228"/>
      <c r="E52" s="228"/>
      <c r="F52" s="228"/>
      <c r="G52" s="228"/>
      <c r="H52" s="228"/>
      <c r="I52" s="82"/>
      <c r="K52" s="228"/>
      <c r="L52" s="228"/>
      <c r="M52" s="228"/>
      <c r="N52" s="228"/>
      <c r="O52" s="228"/>
      <c r="P52" s="228"/>
      <c r="R52" s="82"/>
      <c r="S52" s="223"/>
    </row>
    <row r="53" spans="1:19" x14ac:dyDescent="0.3">
      <c r="A53" s="222"/>
      <c r="B53" s="228"/>
      <c r="C53" s="228"/>
      <c r="D53" s="228"/>
      <c r="E53" s="228"/>
      <c r="F53" s="228"/>
      <c r="G53" s="228"/>
      <c r="H53" s="228"/>
      <c r="I53" s="82"/>
      <c r="K53" s="228"/>
      <c r="L53" s="228"/>
      <c r="M53" s="228"/>
      <c r="N53" s="228"/>
      <c r="O53" s="228"/>
      <c r="P53" s="228"/>
      <c r="R53" s="82"/>
      <c r="S53" s="223"/>
    </row>
    <row r="54" spans="1:19" x14ac:dyDescent="0.3">
      <c r="A54" s="222"/>
      <c r="B54" s="228"/>
      <c r="C54" s="228"/>
      <c r="D54" s="228"/>
      <c r="E54" s="228"/>
      <c r="F54" s="228"/>
      <c r="G54" s="228"/>
      <c r="H54" s="228"/>
      <c r="I54" s="82"/>
      <c r="K54" s="228"/>
      <c r="L54" s="228"/>
      <c r="M54" s="228"/>
      <c r="N54" s="228"/>
      <c r="O54" s="228"/>
      <c r="P54" s="228"/>
      <c r="R54" s="82"/>
      <c r="S54" s="223"/>
    </row>
    <row r="55" spans="1:19" x14ac:dyDescent="0.3">
      <c r="A55" s="222"/>
      <c r="B55" s="228"/>
      <c r="C55" s="228"/>
      <c r="D55" s="228"/>
      <c r="E55" s="228"/>
      <c r="F55" s="228"/>
      <c r="G55" s="228"/>
      <c r="H55" s="228"/>
      <c r="I55" s="82"/>
      <c r="K55" s="228"/>
      <c r="L55" s="228"/>
      <c r="M55" s="228"/>
      <c r="N55" s="228"/>
      <c r="O55" s="228"/>
      <c r="P55" s="228"/>
      <c r="R55" s="82"/>
      <c r="S55" s="223"/>
    </row>
    <row r="56" spans="1:19" x14ac:dyDescent="0.3">
      <c r="A56" s="222"/>
      <c r="S56" s="223"/>
    </row>
    <row r="57" spans="1:19" x14ac:dyDescent="0.3">
      <c r="A57" s="222"/>
      <c r="S57" s="223"/>
    </row>
    <row r="58" spans="1:19" x14ac:dyDescent="0.3">
      <c r="A58" s="222"/>
      <c r="S58" s="223"/>
    </row>
    <row r="59" spans="1:19" x14ac:dyDescent="0.3">
      <c r="A59" s="222"/>
      <c r="S59" s="223"/>
    </row>
    <row r="60" spans="1:19" x14ac:dyDescent="0.3">
      <c r="A60" s="222"/>
      <c r="S60" s="223"/>
    </row>
    <row r="61" spans="1:19" x14ac:dyDescent="0.3">
      <c r="A61" s="222"/>
      <c r="S61" s="223"/>
    </row>
    <row r="62" spans="1:19" x14ac:dyDescent="0.3">
      <c r="A62" s="222"/>
      <c r="S62" s="223"/>
    </row>
    <row r="63" spans="1:19" x14ac:dyDescent="0.3">
      <c r="A63" s="222"/>
      <c r="S63" s="223"/>
    </row>
    <row r="64" spans="1:19" x14ac:dyDescent="0.3">
      <c r="A64" s="222"/>
      <c r="S64" s="223"/>
    </row>
    <row r="65" spans="1:19" x14ac:dyDescent="0.3">
      <c r="A65" s="222"/>
      <c r="S65" s="223"/>
    </row>
    <row r="66" spans="1:19" x14ac:dyDescent="0.3">
      <c r="A66" s="222"/>
      <c r="S66" s="223"/>
    </row>
    <row r="67" spans="1:19" x14ac:dyDescent="0.3">
      <c r="A67" s="222"/>
      <c r="S67" s="223"/>
    </row>
    <row r="68" spans="1:19" x14ac:dyDescent="0.3">
      <c r="A68" s="222"/>
      <c r="S68" s="223"/>
    </row>
    <row r="69" spans="1:19" x14ac:dyDescent="0.3">
      <c r="A69" s="222"/>
      <c r="S69" s="223"/>
    </row>
    <row r="70" spans="1:19" x14ac:dyDescent="0.3">
      <c r="A70" s="222"/>
      <c r="S70" s="223"/>
    </row>
    <row r="71" spans="1:19" x14ac:dyDescent="0.3">
      <c r="A71" s="222"/>
      <c r="S71" s="223"/>
    </row>
    <row r="72" spans="1:19" x14ac:dyDescent="0.3">
      <c r="A72" s="222"/>
      <c r="S72" s="223"/>
    </row>
    <row r="73" spans="1:19" x14ac:dyDescent="0.3">
      <c r="A73" s="222"/>
      <c r="S73" s="223"/>
    </row>
    <row r="74" spans="1:19" x14ac:dyDescent="0.3">
      <c r="A74" s="222"/>
      <c r="S74" s="223"/>
    </row>
    <row r="75" spans="1:19" x14ac:dyDescent="0.3">
      <c r="A75" s="222"/>
      <c r="S75" s="223"/>
    </row>
    <row r="76" spans="1:19" x14ac:dyDescent="0.3">
      <c r="A76" s="222"/>
      <c r="S76" s="223"/>
    </row>
    <row r="77" spans="1:19" x14ac:dyDescent="0.3">
      <c r="A77" s="234"/>
      <c r="B77" s="235"/>
      <c r="C77" s="235"/>
      <c r="D77" s="235"/>
      <c r="E77" s="235"/>
      <c r="F77" s="235"/>
      <c r="G77" s="235"/>
      <c r="H77" s="235"/>
      <c r="I77" s="235"/>
      <c r="J77" s="235"/>
      <c r="K77" s="235"/>
      <c r="L77" s="235"/>
      <c r="M77" s="235"/>
      <c r="N77" s="235"/>
      <c r="O77" s="235"/>
      <c r="P77" s="235"/>
      <c r="Q77" s="235"/>
      <c r="R77" s="235"/>
      <c r="S77" s="236"/>
    </row>
  </sheetData>
  <mergeCells count="14">
    <mergeCell ref="A35:D35"/>
    <mergeCell ref="K14:P14"/>
    <mergeCell ref="K38:N38"/>
    <mergeCell ref="I35:L35"/>
    <mergeCell ref="A1:S4"/>
    <mergeCell ref="B6:C6"/>
    <mergeCell ref="E6:F6"/>
    <mergeCell ref="H6:I6"/>
    <mergeCell ref="K6:L6"/>
    <mergeCell ref="N6:O6"/>
    <mergeCell ref="Q6:R6"/>
    <mergeCell ref="Q16:R16"/>
    <mergeCell ref="Q14:R14"/>
    <mergeCell ref="Q15:R15"/>
  </mergeCells>
  <conditionalFormatting sqref="I43:I55">
    <cfRule type="expression" dxfId="5" priority="3">
      <formula>I43=0</formula>
    </cfRule>
    <cfRule type="expression" dxfId="4" priority="4">
      <formula>I43&lt;1</formula>
    </cfRule>
  </conditionalFormatting>
  <conditionalFormatting sqref="R27:R55">
    <cfRule type="expression" dxfId="3" priority="1">
      <formula>R27=0</formula>
    </cfRule>
    <cfRule type="expression" dxfId="2" priority="2">
      <formula>R27&lt;1</formula>
    </cfRule>
  </conditionalFormatting>
  <pageMargins left="0.7" right="0.7" top="0.75" bottom="0.75" header="0.3" footer="0.3"/>
  <pageSetup scale="44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/>
  <dimension ref="A3:G11"/>
  <sheetViews>
    <sheetView workbookViewId="0">
      <selection activeCell="E21" sqref="E21"/>
    </sheetView>
  </sheetViews>
  <sheetFormatPr defaultColWidth="8.81640625" defaultRowHeight="15" x14ac:dyDescent="0.25"/>
  <cols>
    <col min="1" max="1" width="8.81640625" style="14"/>
    <col min="2" max="2" width="30.453125" style="14" bestFit="1" customWidth="1"/>
    <col min="3" max="3" width="15" style="14" bestFit="1" customWidth="1"/>
    <col min="4" max="4" width="14.54296875" style="14" bestFit="1" customWidth="1"/>
    <col min="5" max="5" width="16.54296875" style="14" bestFit="1" customWidth="1"/>
    <col min="6" max="6" width="34.90625" style="14" bestFit="1" customWidth="1"/>
    <col min="7" max="7" width="24" style="71" bestFit="1" customWidth="1"/>
    <col min="8" max="16384" width="8.81640625" style="14"/>
  </cols>
  <sheetData>
    <row r="3" spans="1:6" x14ac:dyDescent="0.25">
      <c r="A3" s="16" t="s">
        <v>3</v>
      </c>
    </row>
    <row r="4" spans="1:6" x14ac:dyDescent="0.25">
      <c r="B4" s="15" t="s">
        <v>4</v>
      </c>
      <c r="C4" s="15" t="s">
        <v>5</v>
      </c>
    </row>
    <row r="5" spans="1:6" x14ac:dyDescent="0.25">
      <c r="B5" s="14" t="s">
        <v>6</v>
      </c>
      <c r="C5" s="21">
        <f>'COST SUMMARY'!E26</f>
        <v>690140.56545999995</v>
      </c>
      <c r="D5" s="17">
        <f>C5/$C$11</f>
        <v>0.41629571669402377</v>
      </c>
    </row>
    <row r="6" spans="1:6" x14ac:dyDescent="0.25">
      <c r="B6" s="14" t="s">
        <v>7</v>
      </c>
      <c r="C6" s="21">
        <f>'COST SUMMARY'!D26</f>
        <v>625117.24150588538</v>
      </c>
      <c r="D6" s="17">
        <f t="shared" ref="D6:D10" si="0">C6/$C$11</f>
        <v>0.37707337185292095</v>
      </c>
      <c r="E6" s="15" t="s">
        <v>4</v>
      </c>
      <c r="F6" s="15" t="s">
        <v>8</v>
      </c>
    </row>
    <row r="7" spans="1:6" x14ac:dyDescent="0.25">
      <c r="B7" s="14" t="s">
        <v>9</v>
      </c>
      <c r="C7" s="21">
        <f>'COST SUMMARY'!E27</f>
        <v>55004.203067161994</v>
      </c>
      <c r="D7" s="17">
        <f>C7/$C$11</f>
        <v>3.3178768620513693E-2</v>
      </c>
      <c r="E7" s="14" t="s">
        <v>9</v>
      </c>
      <c r="F7" s="18">
        <f>C7/C5</f>
        <v>7.9699999999999993E-2</v>
      </c>
    </row>
    <row r="8" spans="1:6" x14ac:dyDescent="0.25">
      <c r="B8" s="14" t="s">
        <v>10</v>
      </c>
      <c r="C8" s="21">
        <f>'COST SUMMARY'!E28</f>
        <v>138028.11309199999</v>
      </c>
      <c r="D8" s="17">
        <f>C8/$C$11</f>
        <v>8.3259143338804756E-2</v>
      </c>
      <c r="E8" s="14" t="s">
        <v>10</v>
      </c>
      <c r="F8" s="18">
        <f>C8/C5</f>
        <v>0.19999999999999998</v>
      </c>
    </row>
    <row r="9" spans="1:6" x14ac:dyDescent="0.25">
      <c r="B9" s="14" t="s">
        <v>11</v>
      </c>
      <c r="C9" s="21">
        <f>'COST SUMMARY'!D29</f>
        <v>125023.44830117708</v>
      </c>
      <c r="D9" s="17">
        <f t="shared" si="0"/>
        <v>7.5414674370584189E-2</v>
      </c>
      <c r="E9" s="14" t="s">
        <v>11</v>
      </c>
      <c r="F9" s="18">
        <f>C9/C6</f>
        <v>0.2</v>
      </c>
    </row>
    <row r="10" spans="1:6" x14ac:dyDescent="0.25">
      <c r="B10" s="14" t="s">
        <v>12</v>
      </c>
      <c r="C10" s="21">
        <f>'COST SUMMARY'!F30</f>
        <v>24499.703571393355</v>
      </c>
      <c r="D10" s="17">
        <f t="shared" si="0"/>
        <v>1.4778325123152703E-2</v>
      </c>
      <c r="E10" s="14" t="s">
        <v>12</v>
      </c>
      <c r="F10" s="18">
        <f>C10/SUM(C4:C9)</f>
        <v>1.4999999999999994E-2</v>
      </c>
    </row>
    <row r="11" spans="1:6" x14ac:dyDescent="0.25">
      <c r="C11" s="21">
        <f>SUM(C5:C10)</f>
        <v>1657813.2749976176</v>
      </c>
      <c r="E11" s="14" t="s">
        <v>13</v>
      </c>
      <c r="F11" s="17">
        <f>'COST SUMMARY'!L11</f>
        <v>0.05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theme="3" tint="0.39997558519241921"/>
    <pageSetUpPr fitToPage="1"/>
  </sheetPr>
  <dimension ref="A1:T54"/>
  <sheetViews>
    <sheetView view="pageBreakPreview" zoomScale="60" zoomScaleNormal="55" workbookViewId="0">
      <selection activeCell="B13" sqref="B13:G13"/>
    </sheetView>
  </sheetViews>
  <sheetFormatPr defaultColWidth="8.90625" defaultRowHeight="15.6" x14ac:dyDescent="0.25"/>
  <cols>
    <col min="1" max="1" width="7.36328125" style="1" customWidth="1"/>
    <col min="2" max="2" width="13.90625" style="4" customWidth="1"/>
    <col min="3" max="3" width="34.6328125" style="4" customWidth="1"/>
    <col min="4" max="4" width="16" style="102" customWidth="1"/>
    <col min="5" max="5" width="14.453125" style="5" bestFit="1" customWidth="1"/>
    <col min="6" max="6" width="15.36328125" style="5" customWidth="1"/>
    <col min="7" max="7" width="12.81640625" style="5" customWidth="1"/>
    <col min="8" max="8" width="7.453125" style="4" customWidth="1"/>
    <col min="9" max="9" width="3.08984375" style="4" customWidth="1"/>
    <col min="10" max="10" width="19.90625" style="6" customWidth="1"/>
    <col min="11" max="11" width="18" style="6" customWidth="1"/>
    <col min="12" max="12" width="15.08984375" style="6" customWidth="1"/>
    <col min="13" max="13" width="20.6328125" style="6" customWidth="1"/>
    <col min="14" max="14" width="14.6328125" style="6" customWidth="1"/>
    <col min="15" max="16" width="13" style="6" customWidth="1"/>
    <col min="17" max="17" width="5.08984375" style="6" customWidth="1"/>
    <col min="18" max="18" width="17.90625" style="6" customWidth="1"/>
    <col min="19" max="19" width="12" style="103" customWidth="1"/>
    <col min="20" max="20" width="8.90625" style="1"/>
    <col min="21" max="21" width="10.36328125" style="1" bestFit="1" customWidth="1"/>
    <col min="22" max="16384" width="8.90625" style="1"/>
  </cols>
  <sheetData>
    <row r="1" spans="1:20" ht="34.950000000000003" customHeight="1" x14ac:dyDescent="0.25">
      <c r="A1" s="341" t="s">
        <v>14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3"/>
      <c r="R1" s="1"/>
      <c r="S1" s="1"/>
    </row>
    <row r="2" spans="1:20" s="39" customFormat="1" ht="34.950000000000003" customHeight="1" x14ac:dyDescent="0.2">
      <c r="A2" s="344"/>
      <c r="B2" s="345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5"/>
      <c r="P2" s="345"/>
      <c r="Q2" s="346"/>
      <c r="R2" s="1"/>
      <c r="S2" s="1"/>
      <c r="T2" s="1"/>
    </row>
    <row r="3" spans="1:20" x14ac:dyDescent="0.25">
      <c r="A3" s="83"/>
      <c r="B3" s="128"/>
      <c r="C3" s="128"/>
      <c r="D3" s="237"/>
      <c r="E3" s="125"/>
      <c r="F3" s="125"/>
      <c r="G3" s="125"/>
      <c r="H3" s="128"/>
      <c r="I3" s="128"/>
      <c r="J3" s="238"/>
      <c r="K3" s="238"/>
      <c r="L3" s="238"/>
      <c r="M3" s="238"/>
      <c r="N3" s="238"/>
      <c r="O3" s="238"/>
      <c r="P3" s="238"/>
      <c r="Q3" s="84"/>
      <c r="R3" s="1"/>
      <c r="S3" s="1"/>
    </row>
    <row r="4" spans="1:20" ht="21" x14ac:dyDescent="0.4">
      <c r="A4" s="83"/>
      <c r="B4" s="128"/>
      <c r="C4" s="239" t="s">
        <v>15</v>
      </c>
      <c r="D4" s="124">
        <f>'BASE BID'!K4</f>
        <v>46071</v>
      </c>
      <c r="E4" s="125"/>
      <c r="F4" s="125"/>
      <c r="G4" s="125"/>
      <c r="H4" s="128"/>
      <c r="I4" s="128"/>
      <c r="J4" s="126"/>
      <c r="K4" s="239" t="s">
        <v>16</v>
      </c>
      <c r="L4" s="240" t="str">
        <f>'BASE BID'!K7</f>
        <v>Private (Non-Prevailing wage)</v>
      </c>
      <c r="M4" s="126"/>
      <c r="N4" s="126"/>
      <c r="O4" s="126"/>
      <c r="P4" s="126"/>
      <c r="Q4" s="85"/>
      <c r="R4" s="1"/>
      <c r="S4" s="1"/>
    </row>
    <row r="5" spans="1:20" ht="21" x14ac:dyDescent="0.4">
      <c r="A5" s="83"/>
      <c r="B5" s="128"/>
      <c r="C5" s="239" t="s">
        <v>17</v>
      </c>
      <c r="D5" s="241" t="str">
        <f>'BASE BID'!K5</f>
        <v>DALLAS EV CHARGING</v>
      </c>
      <c r="E5" s="125"/>
      <c r="F5" s="125"/>
      <c r="G5" s="125"/>
      <c r="H5" s="128"/>
      <c r="I5" s="128"/>
      <c r="J5" s="126"/>
      <c r="K5" s="239" t="s">
        <v>18</v>
      </c>
      <c r="L5" s="242" t="s">
        <v>802</v>
      </c>
      <c r="M5" s="242"/>
      <c r="N5" s="242"/>
      <c r="O5" s="242"/>
      <c r="P5" s="242"/>
      <c r="Q5" s="85"/>
      <c r="R5" s="1"/>
      <c r="S5" s="1"/>
    </row>
    <row r="6" spans="1:20" ht="20.25" customHeight="1" x14ac:dyDescent="0.4">
      <c r="A6" s="83"/>
      <c r="B6" s="128"/>
      <c r="C6" s="243" t="s">
        <v>19</v>
      </c>
      <c r="D6" s="348" t="str">
        <f>'BASE BID'!K6</f>
        <v>1137 MEDICAL DISTRICT DR, DALLAS, TX 75207</v>
      </c>
      <c r="E6" s="348"/>
      <c r="F6" s="348"/>
      <c r="G6" s="348"/>
      <c r="H6" s="348"/>
      <c r="I6" s="348"/>
      <c r="J6" s="126"/>
      <c r="K6" s="74" t="s">
        <v>20</v>
      </c>
      <c r="L6" s="86">
        <f>D10</f>
        <v>1657813.2749976178</v>
      </c>
      <c r="M6" s="242"/>
      <c r="N6" s="242"/>
      <c r="O6" s="242"/>
      <c r="P6" s="242"/>
      <c r="Q6" s="85"/>
      <c r="R6" s="1"/>
      <c r="S6" s="1"/>
    </row>
    <row r="7" spans="1:20" ht="21" x14ac:dyDescent="0.4">
      <c r="A7" s="83"/>
      <c r="B7" s="128"/>
      <c r="C7" s="239"/>
      <c r="D7" s="348"/>
      <c r="E7" s="348"/>
      <c r="F7" s="348"/>
      <c r="G7" s="348"/>
      <c r="H7" s="348"/>
      <c r="I7" s="348"/>
      <c r="J7" s="126"/>
      <c r="K7" s="126"/>
      <c r="L7" s="126"/>
      <c r="M7" s="126"/>
      <c r="N7" s="126"/>
      <c r="O7" s="126"/>
      <c r="P7" s="126"/>
      <c r="Q7" s="84"/>
      <c r="R7" s="1"/>
      <c r="S7" s="1"/>
    </row>
    <row r="8" spans="1:20" ht="16.5" customHeight="1" x14ac:dyDescent="0.25">
      <c r="A8" s="83"/>
      <c r="B8" s="128"/>
      <c r="C8" s="128"/>
      <c r="D8" s="237"/>
      <c r="E8" s="125"/>
      <c r="F8" s="125"/>
      <c r="G8" s="125"/>
      <c r="H8" s="128"/>
      <c r="I8" s="128"/>
      <c r="J8" s="238"/>
      <c r="K8" s="238"/>
      <c r="L8" s="238"/>
      <c r="M8" s="238"/>
      <c r="N8" s="238"/>
      <c r="O8" s="126"/>
      <c r="P8" s="126"/>
      <c r="Q8" s="84"/>
      <c r="R8" s="1"/>
      <c r="S8" s="1"/>
    </row>
    <row r="9" spans="1:20" ht="49.2" customHeight="1" x14ac:dyDescent="0.25">
      <c r="A9" s="83"/>
      <c r="B9" s="340" t="s">
        <v>21</v>
      </c>
      <c r="C9" s="340"/>
      <c r="D9" s="258" t="s">
        <v>22</v>
      </c>
      <c r="E9" s="244"/>
      <c r="F9" s="125"/>
      <c r="G9" s="125"/>
      <c r="H9" s="126"/>
      <c r="I9" s="126"/>
      <c r="J9" s="349" t="s">
        <v>23</v>
      </c>
      <c r="K9" s="349"/>
      <c r="L9" s="349"/>
      <c r="M9" s="245"/>
      <c r="N9" s="245"/>
      <c r="O9" s="126"/>
      <c r="P9" s="126"/>
      <c r="Q9" s="84"/>
      <c r="R9" s="1"/>
      <c r="S9" s="1"/>
    </row>
    <row r="10" spans="1:20" s="87" customFormat="1" ht="24" customHeight="1" x14ac:dyDescent="0.25">
      <c r="A10" s="88"/>
      <c r="B10" s="350" t="s">
        <v>24</v>
      </c>
      <c r="C10" s="350"/>
      <c r="D10" s="259">
        <f>'BASE BID'!E9</f>
        <v>1657813.2749976178</v>
      </c>
      <c r="E10" s="246"/>
      <c r="F10" s="247"/>
      <c r="G10" s="248"/>
      <c r="H10" s="248"/>
      <c r="I10" s="248"/>
      <c r="J10" s="349"/>
      <c r="K10" s="349"/>
      <c r="L10" s="349"/>
      <c r="M10" s="247"/>
      <c r="N10" s="247"/>
      <c r="O10" s="126"/>
      <c r="P10" s="126"/>
      <c r="Q10" s="84"/>
      <c r="R10" s="1"/>
      <c r="S10" s="1"/>
      <c r="T10" s="1"/>
    </row>
    <row r="11" spans="1:20" s="87" customFormat="1" ht="29.4" customHeight="1" x14ac:dyDescent="0.25">
      <c r="A11" s="88"/>
      <c r="B11" s="347" t="s">
        <v>25</v>
      </c>
      <c r="C11" s="347"/>
      <c r="D11" s="347"/>
      <c r="E11" s="244"/>
      <c r="F11" s="248"/>
      <c r="G11" s="248"/>
      <c r="H11" s="248"/>
      <c r="I11" s="248"/>
      <c r="J11" s="351" t="s">
        <v>26</v>
      </c>
      <c r="K11" s="351"/>
      <c r="L11" s="260">
        <v>0.05</v>
      </c>
      <c r="M11" s="247"/>
      <c r="N11" s="247"/>
      <c r="O11" s="126"/>
      <c r="P11" s="126"/>
      <c r="Q11" s="84"/>
      <c r="R11" s="1"/>
      <c r="S11" s="1"/>
      <c r="T11" s="1"/>
    </row>
    <row r="12" spans="1:20" s="87" customFormat="1" ht="29.4" customHeight="1" x14ac:dyDescent="0.25">
      <c r="A12" s="88"/>
      <c r="B12" s="338"/>
      <c r="C12" s="338"/>
      <c r="D12" s="89"/>
      <c r="E12" s="244"/>
      <c r="F12" s="249"/>
      <c r="G12" s="249"/>
      <c r="H12" s="250"/>
      <c r="I12" s="250"/>
      <c r="J12" s="250"/>
      <c r="K12" s="250"/>
      <c r="L12" s="250"/>
      <c r="M12" s="250"/>
      <c r="N12" s="251"/>
      <c r="O12" s="126"/>
      <c r="P12" s="126"/>
      <c r="Q12" s="84"/>
      <c r="R12" s="1"/>
      <c r="S12" s="1"/>
      <c r="T12" s="1"/>
    </row>
    <row r="13" spans="1:20" s="87" customFormat="1" ht="25.8" x14ac:dyDescent="0.25">
      <c r="A13" s="90"/>
      <c r="B13" s="339" t="s">
        <v>27</v>
      </c>
      <c r="C13" s="339"/>
      <c r="D13" s="339"/>
      <c r="E13" s="339"/>
      <c r="F13" s="339"/>
      <c r="G13" s="339"/>
      <c r="H13" s="250"/>
      <c r="I13" s="250"/>
      <c r="J13" s="250"/>
      <c r="K13" s="250"/>
      <c r="L13" s="250"/>
      <c r="M13" s="250"/>
      <c r="N13" s="251"/>
      <c r="O13" s="126"/>
      <c r="P13" s="126"/>
      <c r="Q13" s="84"/>
      <c r="R13" s="1"/>
      <c r="S13" s="1"/>
      <c r="T13" s="1"/>
    </row>
    <row r="14" spans="1:20" ht="30" customHeight="1" x14ac:dyDescent="0.25">
      <c r="A14" s="83"/>
      <c r="B14" s="338"/>
      <c r="C14" s="338"/>
      <c r="D14" s="91"/>
      <c r="E14" s="92"/>
      <c r="F14" s="252"/>
      <c r="G14" s="252"/>
      <c r="H14" s="128"/>
      <c r="I14" s="128"/>
      <c r="J14" s="253"/>
      <c r="K14" s="253"/>
      <c r="L14" s="253"/>
      <c r="M14" s="126"/>
      <c r="N14" s="126"/>
      <c r="O14" s="126"/>
      <c r="P14" s="126"/>
      <c r="Q14" s="84"/>
      <c r="R14" s="1"/>
      <c r="S14" s="1"/>
    </row>
    <row r="15" spans="1:20" s="87" customFormat="1" ht="29.4" customHeight="1" x14ac:dyDescent="0.25">
      <c r="A15" s="90"/>
      <c r="B15" s="254"/>
      <c r="C15" s="254"/>
      <c r="D15" s="93"/>
      <c r="E15" s="255"/>
      <c r="F15" s="255"/>
      <c r="G15" s="252"/>
      <c r="H15" s="250"/>
      <c r="I15" s="250"/>
      <c r="J15" s="336" t="s">
        <v>28</v>
      </c>
      <c r="K15" s="336"/>
      <c r="L15" s="336"/>
      <c r="M15" s="250"/>
      <c r="N15" s="251"/>
      <c r="O15" s="126"/>
      <c r="P15" s="126"/>
      <c r="Q15" s="84"/>
      <c r="R15" s="1"/>
      <c r="S15" s="1"/>
      <c r="T15" s="1"/>
    </row>
    <row r="16" spans="1:20" ht="18" x14ac:dyDescent="0.25">
      <c r="A16" s="83"/>
      <c r="B16" s="256"/>
      <c r="C16" s="256"/>
      <c r="D16" s="256"/>
      <c r="E16" s="256"/>
      <c r="F16" s="256"/>
      <c r="G16" s="256"/>
      <c r="H16" s="128"/>
      <c r="I16" s="128"/>
      <c r="J16" s="336"/>
      <c r="K16" s="336"/>
      <c r="L16" s="336"/>
      <c r="M16" s="126"/>
      <c r="N16" s="126"/>
      <c r="O16" s="126"/>
      <c r="P16" s="126"/>
      <c r="Q16" s="84"/>
      <c r="R16" s="1"/>
      <c r="S16" s="1"/>
    </row>
    <row r="17" spans="1:19" ht="24" customHeight="1" x14ac:dyDescent="0.25">
      <c r="A17" s="83"/>
      <c r="B17" s="340" t="s">
        <v>29</v>
      </c>
      <c r="C17" s="340"/>
      <c r="D17" s="340"/>
      <c r="E17" s="340"/>
      <c r="F17" s="340"/>
      <c r="G17" s="340"/>
      <c r="H17" s="128"/>
      <c r="I17" s="128"/>
      <c r="J17" s="337" t="s">
        <v>30</v>
      </c>
      <c r="K17" s="337"/>
      <c r="L17" s="337"/>
      <c r="M17" s="354" t="s">
        <v>31</v>
      </c>
      <c r="N17" s="126"/>
      <c r="O17" s="126"/>
      <c r="P17" s="126"/>
      <c r="Q17" s="84"/>
      <c r="R17" s="1"/>
      <c r="S17" s="1"/>
    </row>
    <row r="18" spans="1:19" ht="25.5" customHeight="1" x14ac:dyDescent="0.25">
      <c r="A18" s="83"/>
      <c r="B18" s="340"/>
      <c r="C18" s="340"/>
      <c r="D18" s="340"/>
      <c r="E18" s="340"/>
      <c r="F18" s="340"/>
      <c r="G18" s="340"/>
      <c r="H18" s="128"/>
      <c r="I18" s="128"/>
      <c r="J18" s="337"/>
      <c r="K18" s="337"/>
      <c r="L18" s="337"/>
      <c r="M18" s="354"/>
      <c r="N18" s="126"/>
      <c r="O18" s="126"/>
      <c r="P18" s="126"/>
      <c r="Q18" s="126"/>
      <c r="R18" s="352" t="s">
        <v>32</v>
      </c>
      <c r="S18" s="1"/>
    </row>
    <row r="19" spans="1:19" ht="43.35" customHeight="1" x14ac:dyDescent="0.25">
      <c r="A19" s="83"/>
      <c r="B19" s="265" t="s">
        <v>33</v>
      </c>
      <c r="C19" s="266" t="s">
        <v>34</v>
      </c>
      <c r="D19" s="267" t="s">
        <v>35</v>
      </c>
      <c r="E19" s="265" t="s">
        <v>36</v>
      </c>
      <c r="F19" s="267" t="s">
        <v>37</v>
      </c>
      <c r="G19" s="268" t="s">
        <v>38</v>
      </c>
      <c r="H19" s="128"/>
      <c r="I19" s="128"/>
      <c r="J19" s="280" t="s">
        <v>39</v>
      </c>
      <c r="K19" s="281" t="s">
        <v>40</v>
      </c>
      <c r="L19" s="281" t="s">
        <v>41</v>
      </c>
      <c r="M19" s="281" t="s">
        <v>42</v>
      </c>
      <c r="N19" s="353" t="s">
        <v>43</v>
      </c>
      <c r="O19" s="353"/>
      <c r="P19" s="353"/>
      <c r="Q19" s="126"/>
      <c r="R19" s="352"/>
      <c r="S19" s="1"/>
    </row>
    <row r="20" spans="1:19" ht="16.350000000000001" customHeight="1" x14ac:dyDescent="0.25">
      <c r="A20" s="83"/>
      <c r="B20" s="8" t="s">
        <v>44</v>
      </c>
      <c r="C20" s="70" t="s">
        <v>45</v>
      </c>
      <c r="D20" s="75">
        <f>SUMIF('BASE BID'!D:D, B20,'BASE BID'!N:N)</f>
        <v>108211.40353638527</v>
      </c>
      <c r="E20" s="75">
        <f>SUMIF('BASE BID'!D:D, B20, 'BASE BID'!P:P)</f>
        <v>0</v>
      </c>
      <c r="F20" s="269">
        <f>SUMIF('BASE BID'!D:D, B20, 'BASE BID'!Q:Q)</f>
        <v>108211.40353638527</v>
      </c>
      <c r="G20" s="270">
        <f>F20/F$26</f>
        <v>8.2273910835788E-2</v>
      </c>
      <c r="H20" s="128"/>
      <c r="I20" s="128"/>
      <c r="J20" s="282">
        <f>((D20*(1+$G$29))+(E20*(1+$G$27+$G$28)))*(1+$G$30)</f>
        <v>131801.48950731725</v>
      </c>
      <c r="K20" s="282">
        <f t="shared" ref="K20" si="0">IF(R20="",J20,R20*(1+L$11))</f>
        <v>0</v>
      </c>
      <c r="L20" s="283">
        <f>J20-K20</f>
        <v>131801.48950731725</v>
      </c>
      <c r="M20" s="283"/>
      <c r="N20" s="288"/>
      <c r="O20" s="288"/>
      <c r="P20" s="288"/>
      <c r="Q20" s="126"/>
      <c r="R20" s="289">
        <v>0</v>
      </c>
      <c r="S20" s="1"/>
    </row>
    <row r="21" spans="1:19" ht="16.350000000000001" customHeight="1" x14ac:dyDescent="0.25">
      <c r="A21" s="83"/>
      <c r="B21" s="8" t="s">
        <v>46</v>
      </c>
      <c r="C21" s="70" t="s">
        <v>101</v>
      </c>
      <c r="D21" s="75">
        <f>SUMIF('BASE BID'!D:D, B21,'BASE BID'!N:N)</f>
        <v>1857.82</v>
      </c>
      <c r="E21" s="75">
        <f>SUMIF('BASE BID'!D:D, B21, 'BASE BID'!P:P)</f>
        <v>0</v>
      </c>
      <c r="F21" s="269">
        <f>SUMIF('BASE BID'!D:D, B21, 'BASE BID'!Q:Q)</f>
        <v>1857.82</v>
      </c>
      <c r="G21" s="270">
        <f t="shared" ref="G21:G22" si="1">F21/F$26</f>
        <v>1.4125139498587962E-3</v>
      </c>
      <c r="H21" s="128"/>
      <c r="I21" s="128"/>
      <c r="J21" s="282">
        <f>((D21*(1+$G$29))+(E21*(1+$G$27+$G$28)))*(1+$G$30)</f>
        <v>2262.82476</v>
      </c>
      <c r="K21" s="282">
        <v>0</v>
      </c>
      <c r="L21" s="283">
        <f>J21-K21</f>
        <v>2262.82476</v>
      </c>
      <c r="M21" s="283"/>
      <c r="N21" s="288"/>
      <c r="O21" s="288"/>
      <c r="P21" s="288"/>
      <c r="Q21" s="126"/>
      <c r="R21" s="289"/>
      <c r="S21" s="1"/>
    </row>
    <row r="22" spans="1:19" x14ac:dyDescent="0.25">
      <c r="A22" s="83"/>
      <c r="B22" s="8" t="s">
        <v>65</v>
      </c>
      <c r="C22" s="70" t="s">
        <v>66</v>
      </c>
      <c r="D22" s="75">
        <f>SUMIF('BASE BID'!D:D, B22,'BASE BID'!N:N)</f>
        <v>435780.70909950015</v>
      </c>
      <c r="E22" s="75">
        <f>SUMIF('BASE BID'!D:D, B22, 'BASE BID'!P:P)</f>
        <v>636984.07693500002</v>
      </c>
      <c r="F22" s="269">
        <f>SUMIF('BASE BID'!D:D, B22, 'BASE BID'!Q:Q)</f>
        <v>1072764.7860344998</v>
      </c>
      <c r="G22" s="270">
        <f t="shared" si="1"/>
        <v>0.81563080663951171</v>
      </c>
      <c r="H22" s="128"/>
      <c r="I22" s="128"/>
      <c r="J22" s="282">
        <f>((D22*(1+$G$29))+(E22*(1+$G$27+$G$28)))*(1+$G$30)</f>
        <v>1358156.6547857164</v>
      </c>
      <c r="K22" s="282">
        <f t="shared" ref="K22:K25" si="2">IF(R22="",J22,R22*(1+L$11))</f>
        <v>0</v>
      </c>
      <c r="L22" s="283">
        <f t="shared" ref="L22:L25" si="3">J22-K22</f>
        <v>1358156.6547857164</v>
      </c>
      <c r="M22" s="283"/>
      <c r="N22" s="288"/>
      <c r="O22" s="288"/>
      <c r="P22" s="288"/>
      <c r="Q22" s="126"/>
      <c r="R22" s="289">
        <v>0</v>
      </c>
      <c r="S22" s="1"/>
    </row>
    <row r="23" spans="1:19" x14ac:dyDescent="0.25">
      <c r="A23" s="83"/>
      <c r="B23" s="8" t="s">
        <v>67</v>
      </c>
      <c r="C23" s="70" t="s">
        <v>68</v>
      </c>
      <c r="D23" s="75">
        <f>SUMIF('BASE BID'!D:D, B23,'BASE BID'!N:N)</f>
        <v>32452.282470000002</v>
      </c>
      <c r="E23" s="75">
        <f>SUMIF('BASE BID'!D:D, B23, 'BASE BID'!P:P)</f>
        <v>44207.368725000008</v>
      </c>
      <c r="F23" s="269">
        <f>SUMIF('BASE BID'!D:D, B23, 'BASE BID'!Q:Q)</f>
        <v>76659.651195000013</v>
      </c>
      <c r="G23" s="270">
        <f>F23/F$26</f>
        <v>5.8284885890046968E-2</v>
      </c>
      <c r="H23" s="128"/>
      <c r="I23" s="128"/>
      <c r="J23" s="282">
        <f>((D23*(1+$G$29))+(E23*(1+$G$27+$G$28)))*(1+$G$30)</f>
        <v>96947.632352203218</v>
      </c>
      <c r="K23" s="282">
        <f t="shared" si="2"/>
        <v>0</v>
      </c>
      <c r="L23" s="283">
        <f t="shared" si="3"/>
        <v>96947.632352203218</v>
      </c>
      <c r="M23" s="283"/>
      <c r="N23" s="288"/>
      <c r="O23" s="288"/>
      <c r="P23" s="288"/>
      <c r="Q23" s="126"/>
      <c r="R23" s="289">
        <v>0</v>
      </c>
      <c r="S23" s="1"/>
    </row>
    <row r="24" spans="1:19" x14ac:dyDescent="0.25">
      <c r="A24" s="83"/>
      <c r="B24" s="8" t="s">
        <v>69</v>
      </c>
      <c r="C24" s="70" t="s">
        <v>70</v>
      </c>
      <c r="D24" s="75">
        <f>SUMIF('BASE BID'!D:D, B24,'BASE BID'!N:N)</f>
        <v>4712.1264000000001</v>
      </c>
      <c r="E24" s="75">
        <f>SUMIF('BASE BID'!D:D, B24, 'BASE BID'!P:P)</f>
        <v>8949.1197999999986</v>
      </c>
      <c r="F24" s="269">
        <f>SUMIF('BASE BID'!D:D, B24, 'BASE BID'!Q:Q)</f>
        <v>13661.2462</v>
      </c>
      <c r="G24" s="270">
        <f>F24/F$26</f>
        <v>1.0386744049453375E-2</v>
      </c>
      <c r="H24" s="128"/>
      <c r="I24" s="128"/>
      <c r="J24" s="282">
        <f>((D24*(1+$G$29))+(E24*(1+$G$27+$G$28)))*(1+$G$30)</f>
        <v>17363.341392380895</v>
      </c>
      <c r="K24" s="282">
        <f t="shared" si="2"/>
        <v>0</v>
      </c>
      <c r="L24" s="283">
        <f t="shared" si="3"/>
        <v>17363.341392380895</v>
      </c>
      <c r="M24" s="283"/>
      <c r="N24" s="288"/>
      <c r="O24" s="288"/>
      <c r="P24" s="288"/>
      <c r="Q24" s="126"/>
      <c r="R24" s="289">
        <v>0</v>
      </c>
      <c r="S24" s="1"/>
    </row>
    <row r="25" spans="1:19" x14ac:dyDescent="0.25">
      <c r="A25" s="83"/>
      <c r="B25" s="8" t="s">
        <v>71</v>
      </c>
      <c r="C25" s="70" t="s">
        <v>72</v>
      </c>
      <c r="D25" s="75">
        <f>SUMIF('BASE BID'!D:D, B25,'BASE BID'!N:N)</f>
        <v>42102.899999999994</v>
      </c>
      <c r="E25" s="75">
        <f>SUMIF('BASE BID'!D:D, B25, 'BASE BID'!P:P)</f>
        <v>0</v>
      </c>
      <c r="F25" s="269">
        <f>SUMIF('BASE BID'!D:D, B25, 'BASE BID'!Q:Q)</f>
        <v>42102.899999999994</v>
      </c>
      <c r="G25" s="270">
        <f>F25/F$26</f>
        <v>3.2011138635341371E-2</v>
      </c>
      <c r="H25" s="128"/>
      <c r="I25" s="128"/>
      <c r="J25" s="282">
        <f>((D25*(1+$G$29))+(E25*(1+$G$27+$G$28)))*(1+$G$30)</f>
        <v>51281.332199999983</v>
      </c>
      <c r="K25" s="282">
        <f t="shared" si="2"/>
        <v>0</v>
      </c>
      <c r="L25" s="283">
        <f t="shared" si="3"/>
        <v>51281.332199999983</v>
      </c>
      <c r="M25" s="283"/>
      <c r="N25" s="288"/>
      <c r="O25" s="288"/>
      <c r="P25" s="288"/>
      <c r="Q25" s="126"/>
      <c r="R25" s="289">
        <v>0</v>
      </c>
      <c r="S25" s="1"/>
    </row>
    <row r="26" spans="1:19" x14ac:dyDescent="0.25">
      <c r="A26" s="83"/>
      <c r="B26" s="271"/>
      <c r="C26" s="272" t="s">
        <v>76</v>
      </c>
      <c r="D26" s="273">
        <f>SUM(D20:D25)</f>
        <v>625117.24150588538</v>
      </c>
      <c r="E26" s="273">
        <f>SUM(E20:E25)</f>
        <v>690140.56545999995</v>
      </c>
      <c r="F26" s="274">
        <f>SUM(F20:F25)</f>
        <v>1315257.8069658848</v>
      </c>
      <c r="G26" s="275">
        <f>SUM(G8:G25)</f>
        <v>1.0000000000000002</v>
      </c>
      <c r="H26" s="128"/>
      <c r="I26" s="128"/>
      <c r="J26" s="284">
        <f>SUM(J20:J25)</f>
        <v>1657813.2749976178</v>
      </c>
      <c r="K26" s="285">
        <f>SUM(K20:K25)</f>
        <v>0</v>
      </c>
      <c r="L26" s="286">
        <f>SUM(L20:L25)</f>
        <v>1657813.2749976178</v>
      </c>
      <c r="M26" s="287">
        <f>SUM(M20:M25)</f>
        <v>0</v>
      </c>
      <c r="N26" s="288"/>
      <c r="O26" s="288"/>
      <c r="P26" s="288"/>
      <c r="Q26" s="126"/>
      <c r="R26" s="284">
        <f>SUM(R20:R25)</f>
        <v>0</v>
      </c>
      <c r="S26" s="1"/>
    </row>
    <row r="27" spans="1:19" x14ac:dyDescent="0.25">
      <c r="A27" s="83"/>
      <c r="B27" s="271"/>
      <c r="C27" s="272" t="s">
        <v>77</v>
      </c>
      <c r="D27" s="276">
        <v>0</v>
      </c>
      <c r="E27" s="273">
        <f>E26*G27</f>
        <v>55004.203067161994</v>
      </c>
      <c r="F27" s="277">
        <f>D27+E27</f>
        <v>55004.203067161994</v>
      </c>
      <c r="G27" s="278">
        <f>'BASE BID'!D5</f>
        <v>7.9699999999999993E-2</v>
      </c>
      <c r="H27" s="128"/>
      <c r="I27" s="128"/>
      <c r="J27" s="126"/>
      <c r="K27" s="126"/>
      <c r="L27" s="126"/>
      <c r="M27" s="126"/>
      <c r="N27" s="126"/>
      <c r="O27" s="126"/>
      <c r="P27" s="126"/>
      <c r="Q27" s="85"/>
      <c r="R27" s="1"/>
      <c r="S27" s="1"/>
    </row>
    <row r="28" spans="1:19" x14ac:dyDescent="0.25">
      <c r="A28" s="83"/>
      <c r="B28" s="271"/>
      <c r="C28" s="272" t="s">
        <v>78</v>
      </c>
      <c r="D28" s="276">
        <v>0</v>
      </c>
      <c r="E28" s="273">
        <f>E26*G28</f>
        <v>138028.11309199999</v>
      </c>
      <c r="F28" s="277">
        <f>D28+E28</f>
        <v>138028.11309199999</v>
      </c>
      <c r="G28" s="278">
        <f>'BASE BID'!D6</f>
        <v>0.2</v>
      </c>
      <c r="H28" s="128"/>
      <c r="I28" s="128"/>
      <c r="J28" s="126"/>
      <c r="K28" s="126"/>
      <c r="L28" s="126"/>
      <c r="M28" s="126"/>
      <c r="N28" s="126"/>
      <c r="O28" s="126"/>
      <c r="P28" s="126"/>
      <c r="Q28" s="85"/>
      <c r="R28" s="1"/>
      <c r="S28" s="1"/>
    </row>
    <row r="29" spans="1:19" x14ac:dyDescent="0.25">
      <c r="A29" s="83"/>
      <c r="B29" s="271"/>
      <c r="C29" s="272" t="s">
        <v>79</v>
      </c>
      <c r="D29" s="276">
        <f>D26*G29</f>
        <v>125023.44830117708</v>
      </c>
      <c r="E29" s="273">
        <v>0</v>
      </c>
      <c r="F29" s="277">
        <f>D29+E29</f>
        <v>125023.44830117708</v>
      </c>
      <c r="G29" s="278">
        <f>'BASE BID'!D7</f>
        <v>0.2</v>
      </c>
      <c r="H29" s="128"/>
      <c r="I29" s="128"/>
      <c r="J29" s="126"/>
      <c r="K29" s="126"/>
      <c r="L29" s="126"/>
      <c r="M29" s="126"/>
      <c r="N29" s="126"/>
      <c r="O29" s="126"/>
      <c r="P29" s="126"/>
      <c r="Q29" s="85"/>
      <c r="R29" s="1"/>
      <c r="S29" s="1"/>
    </row>
    <row r="30" spans="1:19" x14ac:dyDescent="0.25">
      <c r="A30" s="83"/>
      <c r="B30" s="271"/>
      <c r="C30" s="272" t="s">
        <v>12</v>
      </c>
      <c r="D30" s="276"/>
      <c r="E30" s="277"/>
      <c r="F30" s="277">
        <f>SUM(F26:F29)*G30</f>
        <v>24499.703571393355</v>
      </c>
      <c r="G30" s="278">
        <f>'BASE BID'!D8</f>
        <v>1.4999999999999999E-2</v>
      </c>
      <c r="H30" s="128"/>
      <c r="I30" s="128"/>
      <c r="J30" s="126"/>
      <c r="K30" s="126"/>
      <c r="L30" s="126"/>
      <c r="M30" s="126"/>
      <c r="N30" s="126"/>
      <c r="O30" s="126"/>
      <c r="P30" s="126"/>
      <c r="Q30" s="85"/>
      <c r="R30" s="1"/>
      <c r="S30" s="1"/>
    </row>
    <row r="31" spans="1:19" x14ac:dyDescent="0.25">
      <c r="A31" s="83"/>
      <c r="B31" s="261"/>
      <c r="C31" s="262" t="s">
        <v>80</v>
      </c>
      <c r="D31" s="263"/>
      <c r="E31" s="264"/>
      <c r="F31" s="264">
        <f>F26+F27+F28+F29+F30</f>
        <v>1657813.2749976171</v>
      </c>
      <c r="G31" s="279"/>
      <c r="H31" s="128"/>
      <c r="I31" s="128"/>
      <c r="J31" s="126"/>
      <c r="K31" s="126"/>
      <c r="L31" s="126"/>
      <c r="M31" s="126"/>
      <c r="N31" s="126"/>
      <c r="O31" s="126"/>
      <c r="P31" s="126"/>
      <c r="Q31" s="85"/>
      <c r="R31" s="1"/>
      <c r="S31" s="1"/>
    </row>
    <row r="32" spans="1:19" x14ac:dyDescent="0.25">
      <c r="A32" s="94"/>
      <c r="B32" s="128"/>
      <c r="C32" s="128"/>
      <c r="D32" s="237"/>
      <c r="E32" s="128"/>
      <c r="F32" s="125"/>
      <c r="G32" s="125"/>
      <c r="H32" s="128"/>
      <c r="I32" s="128"/>
      <c r="J32" s="126"/>
      <c r="K32" s="126"/>
      <c r="L32" s="126"/>
      <c r="M32" s="126"/>
      <c r="N32" s="126"/>
      <c r="O32" s="126"/>
      <c r="P32" s="126"/>
      <c r="Q32" s="85"/>
      <c r="R32" s="1"/>
      <c r="S32" s="1"/>
    </row>
    <row r="33" spans="1:19" ht="30" customHeight="1" x14ac:dyDescent="0.25">
      <c r="A33" s="83"/>
      <c r="B33" s="128"/>
      <c r="C33" s="128"/>
      <c r="D33" s="237"/>
      <c r="E33" s="128"/>
      <c r="F33" s="125"/>
      <c r="G33" s="125"/>
      <c r="H33" s="128"/>
      <c r="I33" s="128"/>
      <c r="J33" s="336" t="s">
        <v>28</v>
      </c>
      <c r="K33" s="336"/>
      <c r="L33" s="336"/>
      <c r="M33" s="126"/>
      <c r="N33" s="126"/>
      <c r="O33" s="126"/>
      <c r="P33" s="126"/>
      <c r="Q33" s="85"/>
      <c r="R33" s="1"/>
      <c r="S33" s="1"/>
    </row>
    <row r="34" spans="1:19" ht="30" customHeight="1" x14ac:dyDescent="0.25">
      <c r="A34" s="83"/>
      <c r="B34" s="128"/>
      <c r="C34" s="128"/>
      <c r="D34" s="237"/>
      <c r="E34" s="128"/>
      <c r="F34" s="125"/>
      <c r="G34" s="125"/>
      <c r="H34" s="128"/>
      <c r="I34" s="128"/>
      <c r="J34" s="336"/>
      <c r="K34" s="336"/>
      <c r="L34" s="336"/>
      <c r="M34" s="126"/>
      <c r="N34" s="126"/>
      <c r="O34" s="126"/>
      <c r="P34" s="126"/>
      <c r="Q34" s="85"/>
      <c r="R34" s="1"/>
      <c r="S34" s="1"/>
    </row>
    <row r="35" spans="1:19" ht="24" customHeight="1" x14ac:dyDescent="0.25">
      <c r="A35" s="83"/>
      <c r="B35" s="355" t="s">
        <v>81</v>
      </c>
      <c r="C35" s="355"/>
      <c r="D35" s="355"/>
      <c r="E35" s="355"/>
      <c r="F35" s="355"/>
      <c r="G35" s="355"/>
      <c r="H35" s="128"/>
      <c r="I35" s="128"/>
      <c r="J35" s="337" t="s">
        <v>30</v>
      </c>
      <c r="K35" s="337"/>
      <c r="L35" s="337"/>
      <c r="M35" s="354" t="s">
        <v>31</v>
      </c>
      <c r="N35" s="126"/>
      <c r="O35" s="126"/>
      <c r="P35" s="126"/>
      <c r="Q35" s="85"/>
      <c r="R35" s="1"/>
      <c r="S35" s="1"/>
    </row>
    <row r="36" spans="1:19" ht="23.25" customHeight="1" x14ac:dyDescent="0.25">
      <c r="A36" s="83"/>
      <c r="B36" s="355"/>
      <c r="C36" s="355"/>
      <c r="D36" s="355"/>
      <c r="E36" s="355"/>
      <c r="F36" s="355"/>
      <c r="G36" s="355"/>
      <c r="H36" s="128"/>
      <c r="I36" s="128"/>
      <c r="J36" s="337"/>
      <c r="K36" s="337"/>
      <c r="L36" s="337"/>
      <c r="M36" s="354"/>
      <c r="N36" s="126"/>
      <c r="O36" s="126"/>
      <c r="P36" s="126"/>
      <c r="Q36" s="126"/>
      <c r="R36" s="352" t="s">
        <v>32</v>
      </c>
      <c r="S36" s="1"/>
    </row>
    <row r="37" spans="1:19" ht="46.8" x14ac:dyDescent="0.25">
      <c r="A37" s="83"/>
      <c r="B37" s="357" t="s">
        <v>82</v>
      </c>
      <c r="C37" s="357"/>
      <c r="D37" s="290" t="s">
        <v>35</v>
      </c>
      <c r="E37" s="291" t="s">
        <v>36</v>
      </c>
      <c r="F37" s="290" t="s">
        <v>37</v>
      </c>
      <c r="G37" s="292" t="s">
        <v>38</v>
      </c>
      <c r="H37" s="257"/>
      <c r="I37" s="257"/>
      <c r="J37" s="280" t="s">
        <v>83</v>
      </c>
      <c r="K37" s="281" t="s">
        <v>40</v>
      </c>
      <c r="L37" s="281" t="s">
        <v>41</v>
      </c>
      <c r="M37" s="281" t="s">
        <v>42</v>
      </c>
      <c r="N37" s="353" t="s">
        <v>43</v>
      </c>
      <c r="O37" s="353"/>
      <c r="P37" s="353"/>
      <c r="Q37" s="126"/>
      <c r="R37" s="352"/>
      <c r="S37" s="1"/>
    </row>
    <row r="38" spans="1:19" ht="16.350000000000001" customHeight="1" x14ac:dyDescent="0.25">
      <c r="A38" s="83"/>
      <c r="B38" s="358" t="s">
        <v>45</v>
      </c>
      <c r="C38" s="358"/>
      <c r="D38" s="75">
        <f>SUMIF('BASE BID'!E:E, B38, 'BASE BID'!N:N)</f>
        <v>108211.40353638527</v>
      </c>
      <c r="E38" s="75">
        <f>SUMIF('BASE BID'!E:E, B38, 'BASE BID'!P:P)</f>
        <v>0</v>
      </c>
      <c r="F38" s="293">
        <f>SUMIF('BASE BID'!E:E, B38, 'BASE BID'!Q:Q)</f>
        <v>108211.40353638527</v>
      </c>
      <c r="G38" s="270">
        <f t="shared" ref="G38:G43" si="4">F38/F$26</f>
        <v>8.2273910835788E-2</v>
      </c>
      <c r="H38" s="128"/>
      <c r="I38" s="128"/>
      <c r="J38" s="282">
        <f>((D38*(1+$G$47))+(E38*(1+$G$46+$G$45)))*(1+$G$48)</f>
        <v>131801.48950731725</v>
      </c>
      <c r="K38" s="294">
        <f t="shared" ref="K38" si="5">IF(R38="",J38,R38*(1+L$11))</f>
        <v>0</v>
      </c>
      <c r="L38" s="283">
        <f>J38-K38</f>
        <v>131801.48950731725</v>
      </c>
      <c r="M38" s="283"/>
      <c r="N38" s="288"/>
      <c r="O38" s="288"/>
      <c r="P38" s="288"/>
      <c r="Q38" s="126"/>
      <c r="R38" s="289">
        <v>0</v>
      </c>
      <c r="S38" s="1"/>
    </row>
    <row r="39" spans="1:19" ht="16.350000000000001" customHeight="1" x14ac:dyDescent="0.25">
      <c r="A39" s="83"/>
      <c r="B39" s="361" t="s">
        <v>101</v>
      </c>
      <c r="C39" s="362"/>
      <c r="D39" s="75">
        <f>SUMIF('BASE BID'!E:E, B39, 'BASE BID'!N:N)</f>
        <v>1857.82</v>
      </c>
      <c r="E39" s="75">
        <f>SUMIF('BASE BID'!E:E, B39, 'BASE BID'!P:P)</f>
        <v>0</v>
      </c>
      <c r="F39" s="293">
        <f>SUMIF('BASE BID'!E:E, B39, 'BASE BID'!Q:Q)</f>
        <v>1857.82</v>
      </c>
      <c r="G39" s="270">
        <f t="shared" si="4"/>
        <v>1.4125139498587962E-3</v>
      </c>
      <c r="H39" s="128"/>
      <c r="I39" s="128"/>
      <c r="J39" s="282">
        <f>((D39*(1+$G$47))+(E39*(1+$G$46+$G$45)))*(1+$G$48)</f>
        <v>2262.82476</v>
      </c>
      <c r="K39" s="294">
        <v>0</v>
      </c>
      <c r="L39" s="283">
        <f>J39-K39</f>
        <v>2262.82476</v>
      </c>
      <c r="M39" s="283"/>
      <c r="N39" s="288"/>
      <c r="O39" s="288"/>
      <c r="P39" s="288"/>
      <c r="Q39" s="126"/>
      <c r="R39" s="289"/>
      <c r="S39" s="1"/>
    </row>
    <row r="40" spans="1:19" ht="15" customHeight="1" x14ac:dyDescent="0.3">
      <c r="A40" s="83"/>
      <c r="B40" s="360" t="s">
        <v>97</v>
      </c>
      <c r="C40" s="360"/>
      <c r="D40" s="75">
        <f>SUMIF('BASE BID'!E:E, B40, 'BASE BID'!N:N)</f>
        <v>63945.119999999995</v>
      </c>
      <c r="E40" s="75">
        <f>SUMIF('BASE BID'!E:E, B40, 'BASE BID'!P:P)</f>
        <v>66066.600000000006</v>
      </c>
      <c r="F40" s="293">
        <f>SUMIF('BASE BID'!E:E, B40, 'BASE BID'!Q:Q)</f>
        <v>130011.72</v>
      </c>
      <c r="G40" s="270">
        <f t="shared" si="4"/>
        <v>9.8848848728690542E-2</v>
      </c>
      <c r="H40" s="128"/>
      <c r="I40" s="128"/>
      <c r="J40" s="282">
        <f>((D40*(1+$G$47))+(E40*(1+$G$46+$G$45)))*(1+$G$48)</f>
        <v>163698.76560029999</v>
      </c>
      <c r="K40" s="282">
        <f t="shared" ref="K40:K43" si="6">IF(R40="",J40,R40*(1+L$11))</f>
        <v>0</v>
      </c>
      <c r="L40" s="283">
        <f t="shared" ref="L40:L43" si="7">J40-K40</f>
        <v>163698.76560029999</v>
      </c>
      <c r="M40" s="283"/>
      <c r="N40" s="288"/>
      <c r="O40" s="288"/>
      <c r="P40" s="288"/>
      <c r="Q40" s="126"/>
      <c r="R40" s="289">
        <v>0</v>
      </c>
      <c r="S40" s="1"/>
    </row>
    <row r="41" spans="1:19" ht="15" customHeight="1" x14ac:dyDescent="0.3">
      <c r="A41" s="83"/>
      <c r="B41" s="360" t="s">
        <v>106</v>
      </c>
      <c r="C41" s="360"/>
      <c r="D41" s="75">
        <f>SUMIF('BASE BID'!E:E, B41, 'BASE BID'!N:N)</f>
        <v>42102.899999999994</v>
      </c>
      <c r="E41" s="75">
        <f>SUMIF('BASE BID'!E:E, B41, 'BASE BID'!P:P)</f>
        <v>0</v>
      </c>
      <c r="F41" s="293">
        <f>SUMIF('BASE BID'!E:E, B41, 'BASE BID'!Q:Q)</f>
        <v>42102.899999999994</v>
      </c>
      <c r="G41" s="270">
        <f t="shared" si="4"/>
        <v>3.2011138635341371E-2</v>
      </c>
      <c r="H41" s="128"/>
      <c r="I41" s="128"/>
      <c r="J41" s="282">
        <f>((D41*(1+$G$47))+(E41*(1+$G$46+$G$45)))*(1+$G$48)</f>
        <v>51281.332199999983</v>
      </c>
      <c r="K41" s="282">
        <f t="shared" si="6"/>
        <v>0</v>
      </c>
      <c r="L41" s="283">
        <f t="shared" si="7"/>
        <v>51281.332199999983</v>
      </c>
      <c r="M41" s="283"/>
      <c r="N41" s="288"/>
      <c r="O41" s="288"/>
      <c r="P41" s="288"/>
      <c r="Q41" s="126"/>
      <c r="R41" s="289">
        <v>0</v>
      </c>
      <c r="S41" s="1"/>
    </row>
    <row r="42" spans="1:19" ht="15" customHeight="1" x14ac:dyDescent="0.3">
      <c r="A42" s="83"/>
      <c r="B42" s="360" t="s">
        <v>107</v>
      </c>
      <c r="C42" s="360"/>
      <c r="D42" s="75">
        <f>SUMIF('BASE BID'!E:E, B42, 'BASE BID'!N:N)</f>
        <v>404287.87156950007</v>
      </c>
      <c r="E42" s="75">
        <f>SUMIF('BASE BID'!E:E, B42, 'BASE BID'!P:P)</f>
        <v>615124.84566000011</v>
      </c>
      <c r="F42" s="293">
        <f>SUMIF('BASE BID'!E:E, B42, 'BASE BID'!Q:Q)</f>
        <v>1019412.7172294997</v>
      </c>
      <c r="G42" s="270">
        <f t="shared" si="4"/>
        <v>0.7750668438008681</v>
      </c>
      <c r="H42" s="128"/>
      <c r="I42" s="128"/>
      <c r="J42" s="282">
        <f>((D42*(1+$G$47))+(E42*(1+$G$46+$G$45)))*(1+$G$48)</f>
        <v>1291405.5215376194</v>
      </c>
      <c r="K42" s="282">
        <f t="shared" si="6"/>
        <v>0</v>
      </c>
      <c r="L42" s="283">
        <f t="shared" si="7"/>
        <v>1291405.5215376194</v>
      </c>
      <c r="M42" s="283"/>
      <c r="N42" s="288"/>
      <c r="O42" s="288"/>
      <c r="P42" s="288"/>
      <c r="Q42" s="126"/>
      <c r="R42" s="289">
        <v>0</v>
      </c>
      <c r="S42" s="1"/>
    </row>
    <row r="43" spans="1:19" ht="15" customHeight="1" x14ac:dyDescent="0.3">
      <c r="A43" s="83"/>
      <c r="B43" s="360" t="s">
        <v>108</v>
      </c>
      <c r="C43" s="360"/>
      <c r="D43" s="75">
        <f>SUMIF('BASE BID'!E:E, B43, 'BASE BID'!N:N)</f>
        <v>4712.1264000000001</v>
      </c>
      <c r="E43" s="75">
        <f>SUMIF('BASE BID'!E:E, B43, 'BASE BID'!P:P)</f>
        <v>8949.1197999999986</v>
      </c>
      <c r="F43" s="293">
        <f>SUMIF('BASE BID'!E:E, B43, 'BASE BID'!Q:Q)</f>
        <v>13661.2462</v>
      </c>
      <c r="G43" s="270">
        <f t="shared" si="4"/>
        <v>1.0386744049453375E-2</v>
      </c>
      <c r="H43" s="128"/>
      <c r="I43" s="128"/>
      <c r="J43" s="282">
        <f>((D43*(1+$G$47))+(E43*(1+$G$46+$G$45)))*(1+$G$48)</f>
        <v>17363.341392380898</v>
      </c>
      <c r="K43" s="282">
        <f t="shared" si="6"/>
        <v>0</v>
      </c>
      <c r="L43" s="283">
        <f t="shared" si="7"/>
        <v>17363.341392380898</v>
      </c>
      <c r="M43" s="283"/>
      <c r="N43" s="288"/>
      <c r="O43" s="288"/>
      <c r="P43" s="288"/>
      <c r="Q43" s="126"/>
      <c r="R43" s="289">
        <v>0</v>
      </c>
      <c r="S43" s="1"/>
    </row>
    <row r="44" spans="1:19" x14ac:dyDescent="0.25">
      <c r="A44" s="83"/>
      <c r="B44" s="359" t="s">
        <v>76</v>
      </c>
      <c r="C44" s="359"/>
      <c r="D44" s="273">
        <f>SUM(D38:D43)</f>
        <v>625117.24150588526</v>
      </c>
      <c r="E44" s="273">
        <f>SUM(E38:E43)</f>
        <v>690140.56546000007</v>
      </c>
      <c r="F44" s="274">
        <f>SUM(F38:F43)</f>
        <v>1315257.806965885</v>
      </c>
      <c r="G44" s="275">
        <f>SUM(G38:G43)</f>
        <v>1.0000000000000002</v>
      </c>
      <c r="H44" s="128"/>
      <c r="I44" s="128"/>
      <c r="J44" s="284">
        <f>SUM(J38:J43)</f>
        <v>1657813.2749976176</v>
      </c>
      <c r="K44" s="285">
        <f>SUM(K38:K43)</f>
        <v>0</v>
      </c>
      <c r="L44" s="287">
        <f>SUM(L38:L43)</f>
        <v>1657813.2749976176</v>
      </c>
      <c r="M44" s="287">
        <f>SUM(M38:M43)</f>
        <v>0</v>
      </c>
      <c r="N44" s="288"/>
      <c r="O44" s="288"/>
      <c r="P44" s="288"/>
      <c r="Q44" s="126"/>
      <c r="R44" s="284">
        <f>SUM(R38:R43)</f>
        <v>0</v>
      </c>
      <c r="S44" s="1"/>
    </row>
    <row r="45" spans="1:19" x14ac:dyDescent="0.25">
      <c r="A45" s="83"/>
      <c r="B45" s="359" t="s">
        <v>77</v>
      </c>
      <c r="C45" s="359"/>
      <c r="D45" s="276">
        <v>0</v>
      </c>
      <c r="E45" s="273">
        <f>E44*G45</f>
        <v>55004.203067162001</v>
      </c>
      <c r="F45" s="277">
        <f>D45+E45</f>
        <v>55004.203067162001</v>
      </c>
      <c r="G45" s="278">
        <f>G27</f>
        <v>7.9699999999999993E-2</v>
      </c>
      <c r="H45" s="128"/>
      <c r="I45" s="128"/>
      <c r="J45" s="126"/>
      <c r="K45" s="126"/>
      <c r="L45" s="126"/>
      <c r="M45" s="126"/>
      <c r="N45" s="126"/>
      <c r="O45" s="126"/>
      <c r="P45" s="126"/>
      <c r="Q45" s="85"/>
      <c r="R45" s="1"/>
      <c r="S45" s="1"/>
    </row>
    <row r="46" spans="1:19" x14ac:dyDescent="0.25">
      <c r="A46" s="83"/>
      <c r="B46" s="359" t="s">
        <v>78</v>
      </c>
      <c r="C46" s="359"/>
      <c r="D46" s="276">
        <v>0</v>
      </c>
      <c r="E46" s="273">
        <f>E44*G46</f>
        <v>138028.11309200001</v>
      </c>
      <c r="F46" s="277">
        <f>D46+E46</f>
        <v>138028.11309200001</v>
      </c>
      <c r="G46" s="278">
        <f>G28</f>
        <v>0.2</v>
      </c>
      <c r="H46" s="128"/>
      <c r="I46" s="128"/>
      <c r="J46" s="126"/>
      <c r="K46" s="126"/>
      <c r="L46" s="126"/>
      <c r="M46" s="126"/>
      <c r="N46" s="126"/>
      <c r="O46" s="126"/>
      <c r="P46" s="126"/>
      <c r="Q46" s="85"/>
      <c r="R46" s="1"/>
      <c r="S46" s="1"/>
    </row>
    <row r="47" spans="1:19" x14ac:dyDescent="0.25">
      <c r="A47" s="83"/>
      <c r="B47" s="359" t="s">
        <v>79</v>
      </c>
      <c r="C47" s="359"/>
      <c r="D47" s="276">
        <f>D44*G47</f>
        <v>125023.44830117706</v>
      </c>
      <c r="E47" s="273">
        <v>0</v>
      </c>
      <c r="F47" s="277">
        <f>D47+E47</f>
        <v>125023.44830117706</v>
      </c>
      <c r="G47" s="278">
        <f>G29</f>
        <v>0.2</v>
      </c>
      <c r="H47" s="128"/>
      <c r="I47" s="128"/>
      <c r="J47" s="126"/>
      <c r="K47" s="126"/>
      <c r="L47" s="126"/>
      <c r="M47" s="126"/>
      <c r="N47" s="126"/>
      <c r="O47" s="126"/>
      <c r="P47" s="126"/>
      <c r="Q47" s="85"/>
      <c r="R47" s="1"/>
      <c r="S47" s="1"/>
    </row>
    <row r="48" spans="1:19" x14ac:dyDescent="0.25">
      <c r="A48" s="83"/>
      <c r="B48" s="359" t="s">
        <v>12</v>
      </c>
      <c r="C48" s="359"/>
      <c r="D48" s="276"/>
      <c r="E48" s="277"/>
      <c r="F48" s="277">
        <f>SUM(F44:F47)*G48</f>
        <v>24499.703571393358</v>
      </c>
      <c r="G48" s="278">
        <f>G30</f>
        <v>1.4999999999999999E-2</v>
      </c>
      <c r="H48" s="128"/>
      <c r="I48" s="128"/>
      <c r="J48" s="126"/>
      <c r="K48" s="126"/>
      <c r="L48" s="126"/>
      <c r="M48" s="126"/>
      <c r="N48" s="126"/>
      <c r="O48" s="126"/>
      <c r="P48" s="126"/>
      <c r="Q48" s="85"/>
      <c r="R48" s="1"/>
      <c r="S48" s="1"/>
    </row>
    <row r="49" spans="1:19" x14ac:dyDescent="0.25">
      <c r="A49" s="83"/>
      <c r="B49" s="356" t="s">
        <v>80</v>
      </c>
      <c r="C49" s="356"/>
      <c r="D49" s="263"/>
      <c r="E49" s="264"/>
      <c r="F49" s="264">
        <f>F44+F45+F46+F47+F48</f>
        <v>1657813.2749976174</v>
      </c>
      <c r="G49" s="279"/>
      <c r="I49" s="128"/>
      <c r="J49" s="126"/>
      <c r="K49" s="126"/>
      <c r="L49" s="126"/>
      <c r="M49" s="126"/>
      <c r="N49" s="126"/>
      <c r="O49" s="126"/>
      <c r="P49" s="126"/>
      <c r="Q49" s="85"/>
      <c r="R49" s="1"/>
      <c r="S49" s="1"/>
    </row>
    <row r="50" spans="1:19" x14ac:dyDescent="0.25">
      <c r="A50" s="83"/>
      <c r="B50" s="128"/>
      <c r="C50" s="128"/>
      <c r="D50" s="237"/>
      <c r="E50" s="125"/>
      <c r="F50" s="125"/>
      <c r="G50" s="125"/>
      <c r="H50" s="128"/>
      <c r="I50" s="128"/>
      <c r="J50" s="126"/>
      <c r="K50" s="126"/>
      <c r="L50" s="126"/>
      <c r="M50" s="126"/>
      <c r="N50" s="126"/>
      <c r="O50" s="126"/>
      <c r="P50" s="126"/>
      <c r="Q50" s="85"/>
      <c r="R50" s="1"/>
      <c r="S50" s="1"/>
    </row>
    <row r="51" spans="1:19" x14ac:dyDescent="0.25">
      <c r="A51" s="95"/>
      <c r="B51" s="128"/>
      <c r="C51" s="128"/>
      <c r="D51" s="237"/>
      <c r="E51" s="125"/>
      <c r="F51" s="125"/>
      <c r="G51" s="125"/>
      <c r="H51" s="128"/>
      <c r="I51" s="128"/>
      <c r="J51" s="126"/>
      <c r="K51" s="126"/>
      <c r="L51" s="126"/>
      <c r="M51" s="126"/>
      <c r="N51" s="126"/>
      <c r="O51" s="126"/>
      <c r="P51" s="126"/>
      <c r="Q51" s="85"/>
      <c r="R51" s="1"/>
      <c r="S51" s="1"/>
    </row>
    <row r="52" spans="1:19" x14ac:dyDescent="0.25">
      <c r="A52" s="96"/>
      <c r="B52" s="97"/>
      <c r="C52" s="97"/>
      <c r="D52" s="98"/>
      <c r="E52" s="99"/>
      <c r="F52" s="99"/>
      <c r="G52" s="99"/>
      <c r="H52" s="97"/>
      <c r="I52" s="97"/>
      <c r="J52" s="100"/>
      <c r="K52" s="100"/>
      <c r="L52" s="100"/>
      <c r="M52" s="100"/>
      <c r="N52" s="100"/>
      <c r="O52" s="100"/>
      <c r="P52" s="100"/>
      <c r="Q52" s="101"/>
      <c r="R52" s="1"/>
      <c r="S52" s="1"/>
    </row>
    <row r="53" spans="1:19" x14ac:dyDescent="0.25">
      <c r="R53" s="1"/>
      <c r="S53" s="1"/>
    </row>
    <row r="54" spans="1:19" x14ac:dyDescent="0.25">
      <c r="R54" s="1"/>
      <c r="S54" s="1"/>
    </row>
  </sheetData>
  <sortState xmlns:xlrd2="http://schemas.microsoft.com/office/spreadsheetml/2017/richdata2" ref="B26:C38">
    <sortCondition ref="B26:B38"/>
  </sortState>
  <mergeCells count="35">
    <mergeCell ref="B35:G36"/>
    <mergeCell ref="B49:C49"/>
    <mergeCell ref="B37:C37"/>
    <mergeCell ref="B38:C38"/>
    <mergeCell ref="B44:C44"/>
    <mergeCell ref="B45:C45"/>
    <mergeCell ref="B46:C46"/>
    <mergeCell ref="B47:C47"/>
    <mergeCell ref="B48:C48"/>
    <mergeCell ref="B40:C40"/>
    <mergeCell ref="B41:C41"/>
    <mergeCell ref="B42:C42"/>
    <mergeCell ref="B43:C43"/>
    <mergeCell ref="B39:C39"/>
    <mergeCell ref="R18:R19"/>
    <mergeCell ref="R36:R37"/>
    <mergeCell ref="N37:P37"/>
    <mergeCell ref="N19:P19"/>
    <mergeCell ref="J35:L36"/>
    <mergeCell ref="J33:L34"/>
    <mergeCell ref="M35:M36"/>
    <mergeCell ref="M17:M18"/>
    <mergeCell ref="A1:Q2"/>
    <mergeCell ref="B11:D11"/>
    <mergeCell ref="B9:C9"/>
    <mergeCell ref="D6:I7"/>
    <mergeCell ref="J9:L10"/>
    <mergeCell ref="B10:C10"/>
    <mergeCell ref="J11:K11"/>
    <mergeCell ref="J15:L16"/>
    <mergeCell ref="J17:L18"/>
    <mergeCell ref="B12:C12"/>
    <mergeCell ref="B14:C14"/>
    <mergeCell ref="B13:G13"/>
    <mergeCell ref="B17:G18"/>
  </mergeCells>
  <phoneticPr fontId="53" type="noConversion"/>
  <conditionalFormatting sqref="D10 D12:D13">
    <cfRule type="expression" dxfId="1" priority="6" stopIfTrue="1">
      <formula>#REF!&lt;&gt;SUM(#REF!)</formula>
    </cfRule>
  </conditionalFormatting>
  <conditionalFormatting sqref="D14:D15">
    <cfRule type="expression" dxfId="0" priority="1" stopIfTrue="1">
      <formula>#REF!&lt;&gt;SUM(#REF!)</formula>
    </cfRule>
  </conditionalFormatting>
  <hyperlinks>
    <hyperlink ref="B11" location="'HOURLY RATES'!A1" display="Hourly Rates" xr:uid="{00000000-0004-0000-0200-000000000000}"/>
    <hyperlink ref="B10:C10" location="'BASE BID'!A1" display="Base bid" xr:uid="{00000000-0004-0000-0200-000002000000}"/>
  </hyperlinks>
  <printOptions horizontalCentered="1"/>
  <pageMargins left="0.25" right="0.25" top="0.75" bottom="0.75" header="0.3" footer="0.3"/>
  <pageSetup paperSize="9" scale="31" fitToHeight="0" orientation="portrait" r:id="rId1"/>
  <headerFooter>
    <oddFooter>&amp;C&amp;P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0">
    <tabColor theme="0"/>
    <pageSetUpPr fitToPage="1"/>
  </sheetPr>
  <dimension ref="B1:M126"/>
  <sheetViews>
    <sheetView zoomScale="70" zoomScaleNormal="70" workbookViewId="0">
      <selection activeCell="G17" sqref="G17"/>
    </sheetView>
  </sheetViews>
  <sheetFormatPr defaultColWidth="8.81640625" defaultRowHeight="15.6" x14ac:dyDescent="0.3"/>
  <cols>
    <col min="1" max="1" width="8.81640625" style="76"/>
    <col min="2" max="2" width="11.08984375" style="76" customWidth="1"/>
    <col min="3" max="3" width="33.6328125" style="76" customWidth="1"/>
    <col min="4" max="4" width="14.54296875" style="76" bestFit="1" customWidth="1"/>
    <col min="5" max="16384" width="8.81640625" style="76"/>
  </cols>
  <sheetData>
    <row r="1" spans="2:13" ht="25.5" customHeight="1" x14ac:dyDescent="0.3">
      <c r="B1" s="295"/>
      <c r="C1" s="296"/>
      <c r="D1" s="296"/>
      <c r="E1" s="296"/>
      <c r="F1" s="296"/>
      <c r="G1" s="296"/>
      <c r="H1" s="296"/>
      <c r="I1" s="296"/>
      <c r="J1" s="297"/>
      <c r="K1" s="297"/>
      <c r="L1" s="297"/>
      <c r="M1" s="298"/>
    </row>
    <row r="2" spans="2:13" ht="16.5" customHeight="1" x14ac:dyDescent="0.3">
      <c r="B2" s="363" t="s">
        <v>266</v>
      </c>
      <c r="C2" s="364"/>
      <c r="D2" s="364"/>
      <c r="E2" s="364"/>
      <c r="F2" s="364"/>
      <c r="G2" s="364"/>
      <c r="H2" s="364"/>
      <c r="I2" s="364"/>
      <c r="J2" s="364"/>
      <c r="K2" s="364"/>
      <c r="L2" s="364"/>
      <c r="M2" s="365"/>
    </row>
    <row r="3" spans="2:13" ht="18" customHeight="1" thickBot="1" x14ac:dyDescent="0.35">
      <c r="B3" s="366"/>
      <c r="C3" s="367"/>
      <c r="D3" s="367"/>
      <c r="E3" s="367"/>
      <c r="F3" s="367"/>
      <c r="G3" s="367"/>
      <c r="H3" s="367"/>
      <c r="I3" s="367"/>
      <c r="J3" s="367"/>
      <c r="K3" s="367"/>
      <c r="L3" s="367"/>
      <c r="M3" s="368"/>
    </row>
    <row r="4" spans="2:13" ht="24.75" customHeight="1" thickBot="1" x14ac:dyDescent="0.35">
      <c r="B4" s="369" t="s">
        <v>267</v>
      </c>
      <c r="C4" s="370"/>
      <c r="D4" s="370"/>
      <c r="E4" s="371"/>
      <c r="F4" s="371"/>
      <c r="G4" s="371"/>
      <c r="H4" s="371"/>
      <c r="I4" s="371"/>
      <c r="J4" s="371"/>
      <c r="K4" s="371"/>
      <c r="L4" s="371"/>
      <c r="M4" s="372"/>
    </row>
    <row r="5" spans="2:13" ht="42" customHeight="1" thickBot="1" x14ac:dyDescent="0.35">
      <c r="B5" s="67" t="s">
        <v>268</v>
      </c>
      <c r="C5" s="67" t="s">
        <v>269</v>
      </c>
      <c r="D5" s="67" t="s">
        <v>270</v>
      </c>
      <c r="M5" s="223"/>
    </row>
    <row r="6" spans="2:13" ht="16.2" thickBot="1" x14ac:dyDescent="0.35">
      <c r="B6" s="11" t="s">
        <v>271</v>
      </c>
      <c r="C6" s="11" t="s">
        <v>45</v>
      </c>
      <c r="D6" s="68">
        <v>60</v>
      </c>
      <c r="F6" s="373" t="s">
        <v>198</v>
      </c>
      <c r="G6" s="374"/>
      <c r="H6" s="374"/>
      <c r="I6" s="374"/>
      <c r="J6" s="375"/>
      <c r="M6" s="223"/>
    </row>
    <row r="7" spans="2:13" x14ac:dyDescent="0.3">
      <c r="B7" s="10" t="s">
        <v>54</v>
      </c>
      <c r="C7" s="11" t="s">
        <v>84</v>
      </c>
      <c r="D7" s="68">
        <v>60</v>
      </c>
      <c r="M7" s="223"/>
    </row>
    <row r="8" spans="2:13" x14ac:dyDescent="0.3">
      <c r="B8" s="10" t="s">
        <v>53</v>
      </c>
      <c r="C8" s="11" t="s">
        <v>85</v>
      </c>
      <c r="D8" s="68">
        <v>60</v>
      </c>
      <c r="M8" s="223"/>
    </row>
    <row r="9" spans="2:13" x14ac:dyDescent="0.3">
      <c r="B9" s="10" t="s">
        <v>55</v>
      </c>
      <c r="C9" s="11" t="s">
        <v>86</v>
      </c>
      <c r="D9" s="68">
        <v>60</v>
      </c>
      <c r="M9" s="223"/>
    </row>
    <row r="10" spans="2:13" x14ac:dyDescent="0.3">
      <c r="B10" s="10" t="s">
        <v>46</v>
      </c>
      <c r="C10" s="11" t="s">
        <v>87</v>
      </c>
      <c r="D10" s="68">
        <v>60</v>
      </c>
      <c r="M10" s="223"/>
    </row>
    <row r="11" spans="2:13" x14ac:dyDescent="0.3">
      <c r="B11" s="10" t="s">
        <v>54</v>
      </c>
      <c r="C11" s="11" t="s">
        <v>88</v>
      </c>
      <c r="D11" s="68">
        <v>60</v>
      </c>
      <c r="M11" s="223"/>
    </row>
    <row r="12" spans="2:13" x14ac:dyDescent="0.3">
      <c r="B12" s="10" t="s">
        <v>57</v>
      </c>
      <c r="C12" s="11" t="s">
        <v>89</v>
      </c>
      <c r="D12" s="68">
        <v>60</v>
      </c>
      <c r="M12" s="223"/>
    </row>
    <row r="13" spans="2:13" x14ac:dyDescent="0.3">
      <c r="B13" s="10" t="s">
        <v>50</v>
      </c>
      <c r="C13" s="11" t="s">
        <v>90</v>
      </c>
      <c r="D13" s="68">
        <v>60</v>
      </c>
      <c r="M13" s="223"/>
    </row>
    <row r="14" spans="2:13" x14ac:dyDescent="0.3">
      <c r="B14" s="10" t="s">
        <v>53</v>
      </c>
      <c r="C14" s="11" t="s">
        <v>91</v>
      </c>
      <c r="D14" s="68">
        <v>60</v>
      </c>
      <c r="M14" s="223"/>
    </row>
    <row r="15" spans="2:13" x14ac:dyDescent="0.3">
      <c r="B15" s="10" t="s">
        <v>51</v>
      </c>
      <c r="C15" s="11" t="s">
        <v>92</v>
      </c>
      <c r="D15" s="68">
        <v>60</v>
      </c>
      <c r="M15" s="223"/>
    </row>
    <row r="16" spans="2:13" x14ac:dyDescent="0.3">
      <c r="B16" s="10" t="s">
        <v>50</v>
      </c>
      <c r="C16" s="11" t="s">
        <v>93</v>
      </c>
      <c r="D16" s="68">
        <v>60</v>
      </c>
      <c r="M16" s="223"/>
    </row>
    <row r="17" spans="2:13" x14ac:dyDescent="0.3">
      <c r="B17" s="10" t="s">
        <v>50</v>
      </c>
      <c r="C17" s="11" t="s">
        <v>94</v>
      </c>
      <c r="D17" s="68">
        <v>60</v>
      </c>
      <c r="M17" s="223"/>
    </row>
    <row r="18" spans="2:13" x14ac:dyDescent="0.3">
      <c r="B18" s="10" t="s">
        <v>53</v>
      </c>
      <c r="C18" s="11" t="s">
        <v>95</v>
      </c>
      <c r="D18" s="68">
        <v>60</v>
      </c>
      <c r="M18" s="223"/>
    </row>
    <row r="19" spans="2:13" x14ac:dyDescent="0.3">
      <c r="B19" s="10" t="s">
        <v>71</v>
      </c>
      <c r="C19" s="11" t="s">
        <v>96</v>
      </c>
      <c r="D19" s="68">
        <v>60</v>
      </c>
      <c r="M19" s="223"/>
    </row>
    <row r="20" spans="2:13" x14ac:dyDescent="0.3">
      <c r="B20" s="10" t="s">
        <v>67</v>
      </c>
      <c r="C20" s="11" t="s">
        <v>97</v>
      </c>
      <c r="D20" s="68">
        <v>60</v>
      </c>
      <c r="M20" s="223"/>
    </row>
    <row r="21" spans="2:13" x14ac:dyDescent="0.3">
      <c r="B21" s="10" t="s">
        <v>47</v>
      </c>
      <c r="C21" s="11" t="s">
        <v>98</v>
      </c>
      <c r="D21" s="68">
        <v>60</v>
      </c>
      <c r="M21" s="223"/>
    </row>
    <row r="22" spans="2:13" x14ac:dyDescent="0.3">
      <c r="B22" s="10" t="s">
        <v>57</v>
      </c>
      <c r="C22" s="11" t="s">
        <v>99</v>
      </c>
      <c r="D22" s="68">
        <v>60</v>
      </c>
      <c r="M22" s="223"/>
    </row>
    <row r="23" spans="2:13" x14ac:dyDescent="0.3">
      <c r="B23" s="10" t="s">
        <v>52</v>
      </c>
      <c r="C23" s="11" t="s">
        <v>100</v>
      </c>
      <c r="D23" s="68">
        <v>60</v>
      </c>
      <c r="M23" s="223"/>
    </row>
    <row r="24" spans="2:13" x14ac:dyDescent="0.3">
      <c r="B24" s="10" t="s">
        <v>46</v>
      </c>
      <c r="C24" s="11" t="s">
        <v>101</v>
      </c>
      <c r="D24" s="68">
        <v>60</v>
      </c>
      <c r="M24" s="223"/>
    </row>
    <row r="25" spans="2:13" x14ac:dyDescent="0.3">
      <c r="B25" s="10" t="s">
        <v>46</v>
      </c>
      <c r="C25" s="11" t="s">
        <v>102</v>
      </c>
      <c r="D25" s="68">
        <v>60</v>
      </c>
      <c r="M25" s="223"/>
    </row>
    <row r="26" spans="2:13" x14ac:dyDescent="0.3">
      <c r="B26" s="10" t="s">
        <v>71</v>
      </c>
      <c r="C26" s="11" t="s">
        <v>103</v>
      </c>
      <c r="D26" s="68">
        <v>60</v>
      </c>
      <c r="M26" s="223"/>
    </row>
    <row r="27" spans="2:13" x14ac:dyDescent="0.3">
      <c r="B27" s="10" t="s">
        <v>52</v>
      </c>
      <c r="C27" s="11" t="s">
        <v>104</v>
      </c>
      <c r="D27" s="68">
        <v>60</v>
      </c>
      <c r="M27" s="223"/>
    </row>
    <row r="28" spans="2:13" x14ac:dyDescent="0.3">
      <c r="B28" s="10" t="s">
        <v>53</v>
      </c>
      <c r="C28" s="11" t="s">
        <v>105</v>
      </c>
      <c r="D28" s="68">
        <v>60</v>
      </c>
      <c r="M28" s="223"/>
    </row>
    <row r="29" spans="2:13" x14ac:dyDescent="0.3">
      <c r="B29" s="10" t="s">
        <v>71</v>
      </c>
      <c r="C29" s="11" t="s">
        <v>106</v>
      </c>
      <c r="D29" s="68">
        <v>60</v>
      </c>
      <c r="M29" s="223"/>
    </row>
    <row r="30" spans="2:13" x14ac:dyDescent="0.3">
      <c r="B30" s="10" t="s">
        <v>65</v>
      </c>
      <c r="C30" s="11" t="s">
        <v>107</v>
      </c>
      <c r="D30" s="68">
        <v>60</v>
      </c>
      <c r="M30" s="223"/>
    </row>
    <row r="31" spans="2:13" x14ac:dyDescent="0.3">
      <c r="B31" s="10" t="s">
        <v>272</v>
      </c>
      <c r="C31" s="11" t="s">
        <v>108</v>
      </c>
      <c r="D31" s="68">
        <v>60</v>
      </c>
      <c r="M31" s="223"/>
    </row>
    <row r="32" spans="2:13" x14ac:dyDescent="0.3">
      <c r="B32" s="10" t="s">
        <v>60</v>
      </c>
      <c r="C32" s="11" t="s">
        <v>109</v>
      </c>
      <c r="D32" s="68">
        <v>60</v>
      </c>
      <c r="M32" s="223"/>
    </row>
    <row r="33" spans="2:13" x14ac:dyDescent="0.3">
      <c r="B33" s="10" t="s">
        <v>55</v>
      </c>
      <c r="C33" s="11" t="s">
        <v>56</v>
      </c>
      <c r="D33" s="68">
        <v>60</v>
      </c>
      <c r="M33" s="223"/>
    </row>
    <row r="34" spans="2:13" x14ac:dyDescent="0.3">
      <c r="B34" s="10" t="s">
        <v>71</v>
      </c>
      <c r="C34" s="11" t="s">
        <v>110</v>
      </c>
      <c r="D34" s="68">
        <v>60</v>
      </c>
      <c r="M34" s="223"/>
    </row>
    <row r="35" spans="2:13" x14ac:dyDescent="0.3">
      <c r="B35" s="10" t="s">
        <v>73</v>
      </c>
      <c r="C35" s="11" t="s">
        <v>111</v>
      </c>
      <c r="D35" s="68">
        <v>60</v>
      </c>
      <c r="M35" s="223"/>
    </row>
    <row r="36" spans="2:13" x14ac:dyDescent="0.3">
      <c r="B36" s="10" t="s">
        <v>53</v>
      </c>
      <c r="C36" s="11" t="s">
        <v>112</v>
      </c>
      <c r="D36" s="68">
        <v>60</v>
      </c>
      <c r="M36" s="223"/>
    </row>
    <row r="37" spans="2:13" x14ac:dyDescent="0.3">
      <c r="B37" s="10" t="s">
        <v>54</v>
      </c>
      <c r="C37" s="11" t="s">
        <v>113</v>
      </c>
      <c r="D37" s="68">
        <v>60</v>
      </c>
      <c r="M37" s="223"/>
    </row>
    <row r="38" spans="2:13" x14ac:dyDescent="0.3">
      <c r="B38" s="10" t="s">
        <v>73</v>
      </c>
      <c r="C38" s="11" t="s">
        <v>114</v>
      </c>
      <c r="D38" s="68">
        <v>60</v>
      </c>
      <c r="M38" s="223"/>
    </row>
    <row r="39" spans="2:13" x14ac:dyDescent="0.3">
      <c r="B39" s="10" t="s">
        <v>73</v>
      </c>
      <c r="C39" s="11" t="s">
        <v>115</v>
      </c>
      <c r="D39" s="68">
        <v>60</v>
      </c>
      <c r="M39" s="223"/>
    </row>
    <row r="40" spans="2:13" x14ac:dyDescent="0.3">
      <c r="B40" s="10" t="s">
        <v>73</v>
      </c>
      <c r="C40" s="11" t="s">
        <v>116</v>
      </c>
      <c r="D40" s="68">
        <v>60</v>
      </c>
      <c r="M40" s="223"/>
    </row>
    <row r="41" spans="2:13" x14ac:dyDescent="0.3">
      <c r="B41" s="10" t="s">
        <v>50</v>
      </c>
      <c r="C41" s="11" t="s">
        <v>117</v>
      </c>
      <c r="D41" s="68">
        <v>60</v>
      </c>
      <c r="M41" s="223"/>
    </row>
    <row r="42" spans="2:13" x14ac:dyDescent="0.3">
      <c r="B42" s="10" t="s">
        <v>53</v>
      </c>
      <c r="C42" s="11" t="s">
        <v>118</v>
      </c>
      <c r="D42" s="68">
        <v>60</v>
      </c>
      <c r="M42" s="223"/>
    </row>
    <row r="43" spans="2:13" x14ac:dyDescent="0.3">
      <c r="B43" s="10" t="s">
        <v>61</v>
      </c>
      <c r="C43" s="11" t="s">
        <v>62</v>
      </c>
      <c r="D43" s="68">
        <v>60</v>
      </c>
      <c r="M43" s="223"/>
    </row>
    <row r="44" spans="2:13" x14ac:dyDescent="0.3">
      <c r="B44" s="10" t="s">
        <v>54</v>
      </c>
      <c r="C44" s="11" t="s">
        <v>119</v>
      </c>
      <c r="D44" s="68">
        <v>60</v>
      </c>
      <c r="M44" s="223"/>
    </row>
    <row r="45" spans="2:13" x14ac:dyDescent="0.3">
      <c r="B45" s="10" t="s">
        <v>53</v>
      </c>
      <c r="C45" s="11" t="s">
        <v>120</v>
      </c>
      <c r="D45" s="68">
        <v>60</v>
      </c>
      <c r="M45" s="223"/>
    </row>
    <row r="46" spans="2:13" x14ac:dyDescent="0.3">
      <c r="B46" s="10" t="s">
        <v>54</v>
      </c>
      <c r="C46" s="11" t="s">
        <v>121</v>
      </c>
      <c r="D46" s="68">
        <v>60</v>
      </c>
      <c r="M46" s="223"/>
    </row>
    <row r="47" spans="2:13" x14ac:dyDescent="0.3">
      <c r="B47" s="10" t="s">
        <v>49</v>
      </c>
      <c r="C47" s="11" t="s">
        <v>122</v>
      </c>
      <c r="D47" s="68">
        <v>60</v>
      </c>
      <c r="M47" s="223"/>
    </row>
    <row r="48" spans="2:13" x14ac:dyDescent="0.3">
      <c r="B48" s="10" t="s">
        <v>53</v>
      </c>
      <c r="C48" s="11" t="s">
        <v>123</v>
      </c>
      <c r="D48" s="68">
        <v>60</v>
      </c>
      <c r="M48" s="223"/>
    </row>
    <row r="49" spans="2:13" x14ac:dyDescent="0.3">
      <c r="B49" s="10" t="s">
        <v>50</v>
      </c>
      <c r="C49" s="11" t="s">
        <v>124</v>
      </c>
      <c r="D49" s="68">
        <v>60</v>
      </c>
      <c r="M49" s="223"/>
    </row>
    <row r="50" spans="2:13" x14ac:dyDescent="0.3">
      <c r="B50" s="10" t="s">
        <v>50</v>
      </c>
      <c r="C50" s="11" t="s">
        <v>125</v>
      </c>
      <c r="D50" s="68">
        <v>60</v>
      </c>
      <c r="M50" s="223"/>
    </row>
    <row r="51" spans="2:13" x14ac:dyDescent="0.3">
      <c r="B51" s="10" t="s">
        <v>57</v>
      </c>
      <c r="C51" s="11" t="s">
        <v>126</v>
      </c>
      <c r="D51" s="68">
        <v>60</v>
      </c>
      <c r="M51" s="223"/>
    </row>
    <row r="52" spans="2:13" x14ac:dyDescent="0.3">
      <c r="B52" s="10" t="s">
        <v>52</v>
      </c>
      <c r="C52" s="11" t="s">
        <v>127</v>
      </c>
      <c r="D52" s="68">
        <v>60</v>
      </c>
      <c r="M52" s="223"/>
    </row>
    <row r="53" spans="2:13" x14ac:dyDescent="0.3">
      <c r="B53" s="10" t="s">
        <v>46</v>
      </c>
      <c r="C53" s="11" t="s">
        <v>128</v>
      </c>
      <c r="D53" s="68">
        <v>60</v>
      </c>
      <c r="M53" s="223"/>
    </row>
    <row r="54" spans="2:13" x14ac:dyDescent="0.3">
      <c r="B54" s="10" t="s">
        <v>51</v>
      </c>
      <c r="C54" s="11" t="s">
        <v>129</v>
      </c>
      <c r="D54" s="68">
        <v>60</v>
      </c>
      <c r="M54" s="223"/>
    </row>
    <row r="55" spans="2:13" x14ac:dyDescent="0.3">
      <c r="B55" s="10" t="s">
        <v>53</v>
      </c>
      <c r="C55" s="11" t="s">
        <v>130</v>
      </c>
      <c r="D55" s="68">
        <v>60</v>
      </c>
      <c r="M55" s="223"/>
    </row>
    <row r="56" spans="2:13" x14ac:dyDescent="0.3">
      <c r="B56" s="10" t="s">
        <v>54</v>
      </c>
      <c r="C56" s="11" t="s">
        <v>131</v>
      </c>
      <c r="D56" s="68">
        <v>60</v>
      </c>
      <c r="M56" s="223"/>
    </row>
    <row r="57" spans="2:13" x14ac:dyDescent="0.3">
      <c r="B57" s="10" t="s">
        <v>73</v>
      </c>
      <c r="C57" s="11" t="s">
        <v>132</v>
      </c>
      <c r="D57" s="68">
        <v>60</v>
      </c>
      <c r="M57" s="223"/>
    </row>
    <row r="58" spans="2:13" x14ac:dyDescent="0.3">
      <c r="B58" s="10" t="s">
        <v>51</v>
      </c>
      <c r="C58" s="11" t="s">
        <v>133</v>
      </c>
      <c r="D58" s="68">
        <v>60</v>
      </c>
      <c r="M58" s="223"/>
    </row>
    <row r="59" spans="2:13" x14ac:dyDescent="0.3">
      <c r="B59" s="10" t="s">
        <v>73</v>
      </c>
      <c r="C59" s="11" t="s">
        <v>134</v>
      </c>
      <c r="D59" s="68">
        <v>60</v>
      </c>
      <c r="M59" s="223"/>
    </row>
    <row r="60" spans="2:13" x14ac:dyDescent="0.3">
      <c r="B60" s="10" t="s">
        <v>57</v>
      </c>
      <c r="C60" s="11" t="s">
        <v>135</v>
      </c>
      <c r="D60" s="68">
        <v>60</v>
      </c>
      <c r="M60" s="223"/>
    </row>
    <row r="61" spans="2:13" x14ac:dyDescent="0.3">
      <c r="B61" s="10" t="s">
        <v>48</v>
      </c>
      <c r="C61" s="11" t="s">
        <v>136</v>
      </c>
      <c r="D61" s="68">
        <v>60</v>
      </c>
      <c r="M61" s="223"/>
    </row>
    <row r="62" spans="2:13" x14ac:dyDescent="0.3">
      <c r="B62" s="10" t="s">
        <v>48</v>
      </c>
      <c r="C62" s="11" t="s">
        <v>137</v>
      </c>
      <c r="D62" s="68">
        <v>60</v>
      </c>
      <c r="M62" s="223"/>
    </row>
    <row r="63" spans="2:13" x14ac:dyDescent="0.3">
      <c r="B63" s="10" t="s">
        <v>48</v>
      </c>
      <c r="C63" s="11" t="s">
        <v>138</v>
      </c>
      <c r="D63" s="68">
        <v>60</v>
      </c>
      <c r="M63" s="223"/>
    </row>
    <row r="64" spans="2:13" x14ac:dyDescent="0.3">
      <c r="B64" s="10" t="s">
        <v>64</v>
      </c>
      <c r="C64" s="11" t="s">
        <v>139</v>
      </c>
      <c r="D64" s="68">
        <v>60</v>
      </c>
      <c r="M64" s="223"/>
    </row>
    <row r="65" spans="2:13" x14ac:dyDescent="0.3">
      <c r="B65" s="10" t="s">
        <v>50</v>
      </c>
      <c r="C65" s="11" t="s">
        <v>140</v>
      </c>
      <c r="D65" s="68">
        <v>60</v>
      </c>
      <c r="M65" s="223"/>
    </row>
    <row r="66" spans="2:13" x14ac:dyDescent="0.3">
      <c r="B66" s="10" t="s">
        <v>49</v>
      </c>
      <c r="C66" s="11" t="s">
        <v>141</v>
      </c>
      <c r="D66" s="68">
        <v>60</v>
      </c>
      <c r="M66" s="223"/>
    </row>
    <row r="67" spans="2:13" x14ac:dyDescent="0.3">
      <c r="B67" s="10" t="s">
        <v>49</v>
      </c>
      <c r="C67" s="11" t="s">
        <v>142</v>
      </c>
      <c r="D67" s="68">
        <v>60</v>
      </c>
      <c r="M67" s="223"/>
    </row>
    <row r="68" spans="2:13" x14ac:dyDescent="0.3">
      <c r="B68" s="10" t="s">
        <v>50</v>
      </c>
      <c r="C68" s="11" t="s">
        <v>143</v>
      </c>
      <c r="D68" s="68">
        <v>60</v>
      </c>
      <c r="M68" s="223"/>
    </row>
    <row r="69" spans="2:13" x14ac:dyDescent="0.3">
      <c r="B69" s="10" t="s">
        <v>50</v>
      </c>
      <c r="C69" s="11" t="s">
        <v>144</v>
      </c>
      <c r="D69" s="68">
        <v>60</v>
      </c>
      <c r="M69" s="223"/>
    </row>
    <row r="70" spans="2:13" x14ac:dyDescent="0.3">
      <c r="B70" s="10" t="s">
        <v>73</v>
      </c>
      <c r="C70" s="11" t="s">
        <v>145</v>
      </c>
      <c r="D70" s="68">
        <v>60</v>
      </c>
      <c r="M70" s="223"/>
    </row>
    <row r="71" spans="2:13" x14ac:dyDescent="0.3">
      <c r="B71" s="10" t="s">
        <v>50</v>
      </c>
      <c r="C71" s="11" t="s">
        <v>146</v>
      </c>
      <c r="D71" s="68">
        <v>60</v>
      </c>
      <c r="M71" s="223"/>
    </row>
    <row r="72" spans="2:13" x14ac:dyDescent="0.3">
      <c r="B72" s="10" t="s">
        <v>71</v>
      </c>
      <c r="C72" s="11" t="s">
        <v>147</v>
      </c>
      <c r="D72" s="68">
        <v>60</v>
      </c>
      <c r="M72" s="223"/>
    </row>
    <row r="73" spans="2:13" x14ac:dyDescent="0.3">
      <c r="B73" s="10" t="s">
        <v>55</v>
      </c>
      <c r="C73" s="11" t="s">
        <v>148</v>
      </c>
      <c r="D73" s="68">
        <v>60</v>
      </c>
      <c r="M73" s="223"/>
    </row>
    <row r="74" spans="2:13" x14ac:dyDescent="0.3">
      <c r="B74" s="10" t="s">
        <v>63</v>
      </c>
      <c r="C74" s="11" t="s">
        <v>149</v>
      </c>
      <c r="D74" s="68">
        <v>60</v>
      </c>
      <c r="M74" s="223"/>
    </row>
    <row r="75" spans="2:13" x14ac:dyDescent="0.3">
      <c r="B75" s="10" t="s">
        <v>58</v>
      </c>
      <c r="C75" s="11" t="s">
        <v>150</v>
      </c>
      <c r="D75" s="68">
        <v>60</v>
      </c>
      <c r="M75" s="223"/>
    </row>
    <row r="76" spans="2:13" x14ac:dyDescent="0.3">
      <c r="B76" s="10" t="s">
        <v>47</v>
      </c>
      <c r="C76" s="11" t="s">
        <v>151</v>
      </c>
      <c r="D76" s="68">
        <v>60</v>
      </c>
      <c r="M76" s="223"/>
    </row>
    <row r="77" spans="2:13" x14ac:dyDescent="0.3">
      <c r="B77" s="10" t="s">
        <v>58</v>
      </c>
      <c r="C77" s="11" t="s">
        <v>152</v>
      </c>
      <c r="D77" s="68">
        <v>60</v>
      </c>
      <c r="M77" s="223"/>
    </row>
    <row r="78" spans="2:13" x14ac:dyDescent="0.3">
      <c r="B78" s="10" t="s">
        <v>50</v>
      </c>
      <c r="C78" s="11" t="s">
        <v>153</v>
      </c>
      <c r="D78" s="68">
        <v>60</v>
      </c>
      <c r="M78" s="223"/>
    </row>
    <row r="79" spans="2:13" x14ac:dyDescent="0.3">
      <c r="B79" s="10" t="s">
        <v>51</v>
      </c>
      <c r="C79" s="11" t="s">
        <v>154</v>
      </c>
      <c r="D79" s="68">
        <v>60</v>
      </c>
      <c r="M79" s="223"/>
    </row>
    <row r="80" spans="2:13" x14ac:dyDescent="0.3">
      <c r="B80" s="10" t="s">
        <v>50</v>
      </c>
      <c r="C80" s="11" t="s">
        <v>155</v>
      </c>
      <c r="D80" s="68">
        <v>60</v>
      </c>
      <c r="M80" s="223"/>
    </row>
    <row r="81" spans="2:13" x14ac:dyDescent="0.3">
      <c r="B81" s="10" t="s">
        <v>71</v>
      </c>
      <c r="C81" s="11" t="s">
        <v>156</v>
      </c>
      <c r="D81" s="68">
        <v>60</v>
      </c>
      <c r="M81" s="223"/>
    </row>
    <row r="82" spans="2:13" x14ac:dyDescent="0.3">
      <c r="B82" s="10" t="s">
        <v>51</v>
      </c>
      <c r="C82" s="11" t="s">
        <v>157</v>
      </c>
      <c r="D82" s="68">
        <v>60</v>
      </c>
      <c r="M82" s="223"/>
    </row>
    <row r="83" spans="2:13" x14ac:dyDescent="0.3">
      <c r="B83" s="10" t="s">
        <v>47</v>
      </c>
      <c r="C83" s="11" t="s">
        <v>158</v>
      </c>
      <c r="D83" s="68">
        <v>60</v>
      </c>
      <c r="M83" s="223"/>
    </row>
    <row r="84" spans="2:13" x14ac:dyDescent="0.3">
      <c r="B84" s="10" t="s">
        <v>65</v>
      </c>
      <c r="C84" s="11" t="s">
        <v>159</v>
      </c>
      <c r="D84" s="68">
        <v>60</v>
      </c>
      <c r="M84" s="223"/>
    </row>
    <row r="85" spans="2:13" x14ac:dyDescent="0.3">
      <c r="B85" s="10" t="s">
        <v>57</v>
      </c>
      <c r="C85" s="11" t="s">
        <v>160</v>
      </c>
      <c r="D85" s="68">
        <v>60</v>
      </c>
      <c r="M85" s="223"/>
    </row>
    <row r="86" spans="2:13" x14ac:dyDescent="0.3">
      <c r="B86" s="10" t="s">
        <v>53</v>
      </c>
      <c r="C86" s="11" t="s">
        <v>161</v>
      </c>
      <c r="D86" s="68">
        <v>60</v>
      </c>
      <c r="M86" s="223"/>
    </row>
    <row r="87" spans="2:13" x14ac:dyDescent="0.3">
      <c r="B87" s="10" t="s">
        <v>54</v>
      </c>
      <c r="C87" s="11" t="s">
        <v>162</v>
      </c>
      <c r="D87" s="68">
        <v>60</v>
      </c>
      <c r="M87" s="223"/>
    </row>
    <row r="88" spans="2:13" x14ac:dyDescent="0.3">
      <c r="B88" s="10" t="s">
        <v>52</v>
      </c>
      <c r="C88" s="11" t="s">
        <v>163</v>
      </c>
      <c r="D88" s="68">
        <v>60</v>
      </c>
      <c r="M88" s="223"/>
    </row>
    <row r="89" spans="2:13" x14ac:dyDescent="0.3">
      <c r="B89" s="10" t="s">
        <v>58</v>
      </c>
      <c r="C89" s="11" t="s">
        <v>59</v>
      </c>
      <c r="D89" s="68">
        <v>60</v>
      </c>
      <c r="M89" s="223"/>
    </row>
    <row r="90" spans="2:13" x14ac:dyDescent="0.3">
      <c r="B90" s="10" t="s">
        <v>49</v>
      </c>
      <c r="C90" s="11" t="s">
        <v>164</v>
      </c>
      <c r="D90" s="68">
        <v>60</v>
      </c>
      <c r="M90" s="223"/>
    </row>
    <row r="91" spans="2:13" x14ac:dyDescent="0.3">
      <c r="B91" s="10" t="s">
        <v>50</v>
      </c>
      <c r="C91" s="11" t="s">
        <v>165</v>
      </c>
      <c r="D91" s="68">
        <v>60</v>
      </c>
      <c r="M91" s="223"/>
    </row>
    <row r="92" spans="2:13" x14ac:dyDescent="0.3">
      <c r="B92" s="10" t="s">
        <v>52</v>
      </c>
      <c r="C92" s="11" t="s">
        <v>166</v>
      </c>
      <c r="D92" s="68">
        <v>60</v>
      </c>
      <c r="M92" s="223"/>
    </row>
    <row r="93" spans="2:13" x14ac:dyDescent="0.3">
      <c r="B93" s="10" t="s">
        <v>49</v>
      </c>
      <c r="C93" s="11" t="s">
        <v>167</v>
      </c>
      <c r="D93" s="68">
        <v>60</v>
      </c>
      <c r="M93" s="223"/>
    </row>
    <row r="94" spans="2:13" x14ac:dyDescent="0.3">
      <c r="B94" s="10" t="s">
        <v>51</v>
      </c>
      <c r="C94" s="11" t="s">
        <v>168</v>
      </c>
      <c r="D94" s="68">
        <v>60</v>
      </c>
      <c r="M94" s="223"/>
    </row>
    <row r="95" spans="2:13" x14ac:dyDescent="0.3">
      <c r="B95" s="10" t="s">
        <v>53</v>
      </c>
      <c r="C95" s="11" t="s">
        <v>169</v>
      </c>
      <c r="D95" s="68">
        <v>60</v>
      </c>
      <c r="M95" s="223"/>
    </row>
    <row r="96" spans="2:13" x14ac:dyDescent="0.3">
      <c r="B96" s="10" t="s">
        <v>54</v>
      </c>
      <c r="C96" s="11" t="s">
        <v>170</v>
      </c>
      <c r="D96" s="68">
        <v>60</v>
      </c>
      <c r="M96" s="223"/>
    </row>
    <row r="97" spans="2:13" x14ac:dyDescent="0.3">
      <c r="B97" s="10" t="s">
        <v>273</v>
      </c>
      <c r="C97" s="11" t="s">
        <v>171</v>
      </c>
      <c r="D97" s="68">
        <v>60</v>
      </c>
      <c r="M97" s="223"/>
    </row>
    <row r="98" spans="2:13" x14ac:dyDescent="0.3">
      <c r="B98" s="10" t="s">
        <v>50</v>
      </c>
      <c r="C98" s="11" t="s">
        <v>172</v>
      </c>
      <c r="D98" s="68">
        <v>60</v>
      </c>
      <c r="M98" s="223"/>
    </row>
    <row r="99" spans="2:13" x14ac:dyDescent="0.3">
      <c r="B99" s="10" t="s">
        <v>50</v>
      </c>
      <c r="C99" s="11" t="s">
        <v>173</v>
      </c>
      <c r="D99" s="68">
        <v>60</v>
      </c>
      <c r="M99" s="223"/>
    </row>
    <row r="100" spans="2:13" x14ac:dyDescent="0.3">
      <c r="B100" s="10" t="s">
        <v>74</v>
      </c>
      <c r="C100" s="11" t="s">
        <v>75</v>
      </c>
      <c r="D100" s="68">
        <v>60</v>
      </c>
      <c r="M100" s="223"/>
    </row>
    <row r="101" spans="2:13" x14ac:dyDescent="0.3">
      <c r="B101" s="10" t="s">
        <v>53</v>
      </c>
      <c r="C101" s="11" t="s">
        <v>174</v>
      </c>
      <c r="D101" s="68">
        <v>60</v>
      </c>
      <c r="M101" s="223"/>
    </row>
    <row r="102" spans="2:13" x14ac:dyDescent="0.3">
      <c r="B102" s="10" t="s">
        <v>51</v>
      </c>
      <c r="C102" s="11" t="s">
        <v>175</v>
      </c>
      <c r="D102" s="68">
        <v>60</v>
      </c>
      <c r="M102" s="223"/>
    </row>
    <row r="103" spans="2:13" x14ac:dyDescent="0.3">
      <c r="B103" s="10" t="s">
        <v>52</v>
      </c>
      <c r="C103" s="11" t="s">
        <v>176</v>
      </c>
      <c r="D103" s="68">
        <v>60</v>
      </c>
      <c r="M103" s="223"/>
    </row>
    <row r="104" spans="2:13" x14ac:dyDescent="0.3">
      <c r="B104" s="10" t="s">
        <v>54</v>
      </c>
      <c r="C104" s="11" t="s">
        <v>177</v>
      </c>
      <c r="D104" s="68">
        <v>60</v>
      </c>
      <c r="M104" s="223"/>
    </row>
    <row r="105" spans="2:13" x14ac:dyDescent="0.3">
      <c r="B105" s="10" t="s">
        <v>274</v>
      </c>
      <c r="C105" s="11" t="s">
        <v>275</v>
      </c>
      <c r="D105" s="68"/>
      <c r="M105" s="223"/>
    </row>
    <row r="106" spans="2:13" x14ac:dyDescent="0.3">
      <c r="B106" s="10" t="s">
        <v>44</v>
      </c>
      <c r="C106" s="11" t="s">
        <v>275</v>
      </c>
      <c r="D106" s="68"/>
      <c r="M106" s="223"/>
    </row>
    <row r="107" spans="2:13" x14ac:dyDescent="0.3">
      <c r="B107" s="222"/>
      <c r="M107" s="223"/>
    </row>
    <row r="108" spans="2:13" x14ac:dyDescent="0.3">
      <c r="B108" s="222"/>
      <c r="M108" s="223"/>
    </row>
    <row r="109" spans="2:13" x14ac:dyDescent="0.3">
      <c r="B109" s="222"/>
      <c r="M109" s="223"/>
    </row>
    <row r="110" spans="2:13" x14ac:dyDescent="0.3">
      <c r="B110" s="222"/>
      <c r="M110" s="223"/>
    </row>
    <row r="111" spans="2:13" x14ac:dyDescent="0.3">
      <c r="B111" s="222"/>
      <c r="M111" s="223"/>
    </row>
    <row r="112" spans="2:13" x14ac:dyDescent="0.3">
      <c r="B112" s="222"/>
      <c r="M112" s="223"/>
    </row>
    <row r="113" spans="2:13" x14ac:dyDescent="0.3">
      <c r="B113" s="222"/>
      <c r="M113" s="223"/>
    </row>
    <row r="114" spans="2:13" x14ac:dyDescent="0.3">
      <c r="B114" s="222"/>
      <c r="M114" s="223"/>
    </row>
    <row r="115" spans="2:13" ht="21" x14ac:dyDescent="0.3">
      <c r="B115" s="69" t="s">
        <v>276</v>
      </c>
      <c r="C115" s="69" t="s">
        <v>277</v>
      </c>
      <c r="M115" s="223"/>
    </row>
    <row r="116" spans="2:13" x14ac:dyDescent="0.3">
      <c r="B116" s="8" t="s">
        <v>251</v>
      </c>
      <c r="C116" s="9">
        <f>'BASE BID'!D$11</f>
        <v>0</v>
      </c>
      <c r="M116" s="223"/>
    </row>
    <row r="117" spans="2:13" x14ac:dyDescent="0.3">
      <c r="B117" s="8" t="s">
        <v>250</v>
      </c>
      <c r="C117" s="9">
        <f>'BASE BID'!D$12</f>
        <v>0.05</v>
      </c>
      <c r="M117" s="223"/>
    </row>
    <row r="118" spans="2:13" x14ac:dyDescent="0.3">
      <c r="B118" s="8" t="s">
        <v>249</v>
      </c>
      <c r="C118" s="9">
        <f>'BASE BID'!D$12</f>
        <v>0.05</v>
      </c>
      <c r="M118" s="223"/>
    </row>
    <row r="119" spans="2:13" x14ac:dyDescent="0.3">
      <c r="B119" s="8" t="s">
        <v>278</v>
      </c>
      <c r="C119" s="9">
        <f>'BASE BID'!D$12</f>
        <v>0.05</v>
      </c>
      <c r="M119" s="223"/>
    </row>
    <row r="120" spans="2:13" x14ac:dyDescent="0.3">
      <c r="B120" s="8" t="s">
        <v>253</v>
      </c>
      <c r="C120" s="9">
        <f>'BASE BID'!D$12</f>
        <v>0.05</v>
      </c>
      <c r="M120" s="223"/>
    </row>
    <row r="121" spans="2:13" x14ac:dyDescent="0.3">
      <c r="B121" s="8" t="s">
        <v>254</v>
      </c>
      <c r="C121" s="9">
        <f>'BASE BID'!D$12</f>
        <v>0.05</v>
      </c>
      <c r="M121" s="223"/>
    </row>
    <row r="122" spans="2:13" x14ac:dyDescent="0.3">
      <c r="B122" s="8" t="s">
        <v>252</v>
      </c>
      <c r="C122" s="9">
        <f>'BASE BID'!D$12</f>
        <v>0.05</v>
      </c>
      <c r="M122" s="223"/>
    </row>
    <row r="123" spans="2:13" x14ac:dyDescent="0.3">
      <c r="B123" s="8" t="s">
        <v>224</v>
      </c>
      <c r="C123" s="9">
        <f>'BASE BID'!D$11</f>
        <v>0</v>
      </c>
      <c r="M123" s="223"/>
    </row>
    <row r="124" spans="2:13" x14ac:dyDescent="0.3">
      <c r="B124" s="8"/>
      <c r="C124" s="8"/>
      <c r="M124" s="223"/>
    </row>
    <row r="125" spans="2:13" x14ac:dyDescent="0.3">
      <c r="B125" s="8"/>
      <c r="C125" s="8"/>
      <c r="M125" s="223"/>
    </row>
    <row r="126" spans="2:13" x14ac:dyDescent="0.3">
      <c r="B126" s="8"/>
      <c r="C126" s="8"/>
      <c r="D126" s="235"/>
      <c r="E126" s="235"/>
      <c r="F126" s="235"/>
      <c r="G126" s="235"/>
      <c r="H126" s="235"/>
      <c r="I126" s="235"/>
      <c r="J126" s="235"/>
      <c r="K126" s="235"/>
      <c r="L126" s="235"/>
      <c r="M126" s="236"/>
    </row>
  </sheetData>
  <sortState xmlns:xlrd2="http://schemas.microsoft.com/office/spreadsheetml/2017/richdata2" ref="B8:D104">
    <sortCondition ref="C8:C97"/>
  </sortState>
  <mergeCells count="3">
    <mergeCell ref="B2:M3"/>
    <mergeCell ref="B4:M4"/>
    <mergeCell ref="F6:J6"/>
  </mergeCells>
  <hyperlinks>
    <hyperlink ref="F6:I6" location="'COST SUMMARY'!A1" display="CLICK HERE TO GO BACK TO COST SUMMARY" xr:uid="{00000000-0004-0000-0600-000000000000}"/>
  </hyperlinks>
  <pageMargins left="0.25" right="0.25" top="0.75" bottom="0.75" header="0.3" footer="0.3"/>
  <pageSetup scale="56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A1:EP142"/>
  <sheetViews>
    <sheetView workbookViewId="0">
      <selection activeCell="B3" sqref="B3"/>
    </sheetView>
  </sheetViews>
  <sheetFormatPr defaultColWidth="8.81640625" defaultRowHeight="14.4" x14ac:dyDescent="0.3"/>
  <cols>
    <col min="1" max="16384" width="8.81640625" style="19"/>
  </cols>
  <sheetData>
    <row r="1" spans="1:146" x14ac:dyDescent="0.3">
      <c r="A1" s="19" t="s">
        <v>279</v>
      </c>
      <c r="B1" s="19" t="s">
        <v>280</v>
      </c>
      <c r="C1" s="19" t="s">
        <v>281</v>
      </c>
      <c r="D1" s="20" t="s">
        <v>4</v>
      </c>
      <c r="E1" s="20" t="s">
        <v>282</v>
      </c>
      <c r="F1" s="19" t="s">
        <v>283</v>
      </c>
      <c r="G1" s="19" t="s">
        <v>284</v>
      </c>
      <c r="H1" s="19" t="s">
        <v>285</v>
      </c>
      <c r="I1" s="19" t="s">
        <v>286</v>
      </c>
      <c r="J1" s="19" t="s">
        <v>287</v>
      </c>
      <c r="K1" s="19" t="s">
        <v>288</v>
      </c>
      <c r="L1" s="19" t="s">
        <v>289</v>
      </c>
      <c r="M1" s="19" t="s">
        <v>290</v>
      </c>
      <c r="N1" s="19" t="s">
        <v>291</v>
      </c>
      <c r="O1" s="19" t="s">
        <v>292</v>
      </c>
      <c r="P1" s="19" t="s">
        <v>293</v>
      </c>
      <c r="Q1" s="19" t="s">
        <v>294</v>
      </c>
      <c r="R1" s="19" t="s">
        <v>295</v>
      </c>
      <c r="S1" s="19" t="s">
        <v>296</v>
      </c>
      <c r="T1" s="19" t="s">
        <v>297</v>
      </c>
      <c r="U1" s="19" t="s">
        <v>298</v>
      </c>
      <c r="V1" s="19" t="s">
        <v>299</v>
      </c>
      <c r="W1" s="19" t="s">
        <v>300</v>
      </c>
      <c r="X1" s="19" t="s">
        <v>301</v>
      </c>
      <c r="Y1" s="19" t="s">
        <v>302</v>
      </c>
      <c r="Z1" s="19" t="s">
        <v>303</v>
      </c>
      <c r="AA1" s="19" t="s">
        <v>304</v>
      </c>
      <c r="AB1" s="19" t="s">
        <v>305</v>
      </c>
      <c r="AC1" s="19" t="s">
        <v>306</v>
      </c>
      <c r="AD1" s="19" t="s">
        <v>307</v>
      </c>
      <c r="AE1" s="19" t="s">
        <v>308</v>
      </c>
      <c r="AF1" s="19" t="s">
        <v>309</v>
      </c>
      <c r="AG1" s="19" t="s">
        <v>310</v>
      </c>
      <c r="AH1" s="19" t="s">
        <v>311</v>
      </c>
      <c r="AI1" s="19" t="s">
        <v>312</v>
      </c>
      <c r="AJ1" s="19" t="s">
        <v>313</v>
      </c>
      <c r="AK1" s="19" t="s">
        <v>314</v>
      </c>
      <c r="AL1" s="19" t="s">
        <v>315</v>
      </c>
      <c r="AM1" s="19" t="s">
        <v>316</v>
      </c>
      <c r="AN1" s="19" t="s">
        <v>317</v>
      </c>
      <c r="AO1" s="19" t="s">
        <v>318</v>
      </c>
      <c r="AP1" s="19" t="s">
        <v>319</v>
      </c>
      <c r="AQ1" s="19" t="s">
        <v>320</v>
      </c>
      <c r="AR1" s="19" t="s">
        <v>321</v>
      </c>
      <c r="AS1" s="19" t="s">
        <v>322</v>
      </c>
      <c r="AT1" s="19" t="s">
        <v>323</v>
      </c>
      <c r="AU1" s="19" t="s">
        <v>324</v>
      </c>
      <c r="AV1" s="19" t="s">
        <v>325</v>
      </c>
      <c r="AW1" s="19" t="s">
        <v>326</v>
      </c>
      <c r="AX1" s="19" t="s">
        <v>327</v>
      </c>
      <c r="AY1" s="19" t="s">
        <v>328</v>
      </c>
      <c r="AZ1" s="19" t="s">
        <v>329</v>
      </c>
      <c r="BA1" s="19" t="s">
        <v>330</v>
      </c>
      <c r="BB1" s="19" t="s">
        <v>331</v>
      </c>
      <c r="BC1" s="19" t="s">
        <v>332</v>
      </c>
      <c r="BD1" s="19" t="s">
        <v>333</v>
      </c>
      <c r="BE1" s="19" t="s">
        <v>334</v>
      </c>
      <c r="BF1" s="19" t="s">
        <v>335</v>
      </c>
      <c r="BG1" s="19" t="s">
        <v>336</v>
      </c>
      <c r="BH1" s="19" t="s">
        <v>337</v>
      </c>
      <c r="BI1" s="19" t="s">
        <v>338</v>
      </c>
      <c r="BJ1" s="19" t="s">
        <v>339</v>
      </c>
      <c r="BK1" s="19" t="s">
        <v>340</v>
      </c>
      <c r="BL1" s="19" t="s">
        <v>341</v>
      </c>
      <c r="BM1" s="19" t="s">
        <v>342</v>
      </c>
      <c r="BN1" s="19" t="s">
        <v>343</v>
      </c>
      <c r="BO1" s="19" t="s">
        <v>344</v>
      </c>
      <c r="BP1" s="19" t="s">
        <v>345</v>
      </c>
      <c r="BQ1" s="19" t="s">
        <v>346</v>
      </c>
      <c r="BR1" s="19" t="s">
        <v>347</v>
      </c>
      <c r="BS1" s="19" t="s">
        <v>348</v>
      </c>
      <c r="BT1" s="19" t="s">
        <v>349</v>
      </c>
      <c r="BU1" s="19" t="s">
        <v>350</v>
      </c>
      <c r="BV1" s="19" t="s">
        <v>351</v>
      </c>
      <c r="BW1" s="19" t="s">
        <v>352</v>
      </c>
      <c r="BX1" s="19" t="s">
        <v>353</v>
      </c>
      <c r="BY1" s="19" t="s">
        <v>354</v>
      </c>
      <c r="BZ1" s="19" t="s">
        <v>355</v>
      </c>
      <c r="CA1" s="19" t="s">
        <v>356</v>
      </c>
      <c r="CB1" s="19" t="s">
        <v>357</v>
      </c>
      <c r="CC1" s="19" t="s">
        <v>358</v>
      </c>
      <c r="CD1" s="19" t="s">
        <v>359</v>
      </c>
      <c r="CE1" s="19" t="s">
        <v>360</v>
      </c>
      <c r="CF1" s="19" t="s">
        <v>361</v>
      </c>
      <c r="CG1" s="19" t="s">
        <v>362</v>
      </c>
      <c r="CH1" s="19" t="s">
        <v>363</v>
      </c>
      <c r="CI1" s="19" t="s">
        <v>364</v>
      </c>
      <c r="CJ1" s="19" t="s">
        <v>365</v>
      </c>
      <c r="CK1" s="19" t="s">
        <v>366</v>
      </c>
      <c r="CL1" s="19" t="s">
        <v>367</v>
      </c>
      <c r="CM1" s="19" t="s">
        <v>368</v>
      </c>
      <c r="CN1" s="19" t="s">
        <v>369</v>
      </c>
      <c r="CO1" s="19" t="s">
        <v>370</v>
      </c>
      <c r="CP1" s="19" t="s">
        <v>371</v>
      </c>
      <c r="CQ1" s="19" t="s">
        <v>372</v>
      </c>
      <c r="CR1" s="19" t="s">
        <v>373</v>
      </c>
      <c r="CS1" s="19" t="s">
        <v>374</v>
      </c>
      <c r="CT1" s="19" t="s">
        <v>375</v>
      </c>
      <c r="CU1" s="19" t="s">
        <v>376</v>
      </c>
      <c r="CV1" s="19" t="s">
        <v>377</v>
      </c>
      <c r="CW1" s="19" t="s">
        <v>378</v>
      </c>
      <c r="CX1" s="19" t="s">
        <v>379</v>
      </c>
      <c r="CY1" s="19" t="s">
        <v>380</v>
      </c>
      <c r="CZ1" s="19" t="s">
        <v>381</v>
      </c>
      <c r="DA1" s="19" t="s">
        <v>382</v>
      </c>
      <c r="DB1" s="19" t="s">
        <v>383</v>
      </c>
      <c r="DC1" s="19" t="s">
        <v>384</v>
      </c>
      <c r="DD1" s="19" t="s">
        <v>385</v>
      </c>
      <c r="DE1" s="19" t="s">
        <v>386</v>
      </c>
      <c r="DF1" s="19" t="s">
        <v>387</v>
      </c>
      <c r="DG1" s="19" t="s">
        <v>388</v>
      </c>
      <c r="DH1" s="19" t="s">
        <v>389</v>
      </c>
      <c r="DI1" s="19" t="s">
        <v>390</v>
      </c>
      <c r="DJ1" s="19" t="s">
        <v>391</v>
      </c>
      <c r="DK1" s="19" t="s">
        <v>392</v>
      </c>
      <c r="DL1" s="19" t="s">
        <v>393</v>
      </c>
      <c r="DM1" s="19" t="s">
        <v>394</v>
      </c>
      <c r="DN1" s="19" t="s">
        <v>395</v>
      </c>
      <c r="DO1" s="19" t="s">
        <v>396</v>
      </c>
      <c r="DP1" s="19" t="s">
        <v>397</v>
      </c>
      <c r="DQ1" s="19" t="s">
        <v>398</v>
      </c>
      <c r="DR1" s="19" t="s">
        <v>399</v>
      </c>
      <c r="DS1" s="19" t="s">
        <v>400</v>
      </c>
      <c r="DT1" s="19" t="s">
        <v>401</v>
      </c>
      <c r="DU1" s="19" t="s">
        <v>402</v>
      </c>
      <c r="DV1" s="19" t="s">
        <v>403</v>
      </c>
      <c r="DW1" s="19" t="s">
        <v>404</v>
      </c>
      <c r="DX1" s="19" t="s">
        <v>405</v>
      </c>
      <c r="DY1" s="19" t="s">
        <v>406</v>
      </c>
      <c r="DZ1" s="19" t="s">
        <v>407</v>
      </c>
      <c r="EA1" s="19" t="s">
        <v>408</v>
      </c>
      <c r="EB1" s="19" t="s">
        <v>409</v>
      </c>
      <c r="EC1" s="19" t="s">
        <v>410</v>
      </c>
      <c r="ED1" s="19" t="s">
        <v>411</v>
      </c>
      <c r="EE1" s="19" t="s">
        <v>412</v>
      </c>
      <c r="EF1" s="19" t="s">
        <v>413</v>
      </c>
      <c r="EG1" s="19" t="s">
        <v>414</v>
      </c>
      <c r="EH1" s="19" t="s">
        <v>415</v>
      </c>
      <c r="EI1" s="19" t="s">
        <v>416</v>
      </c>
      <c r="EJ1" s="19" t="s">
        <v>417</v>
      </c>
      <c r="EK1" s="19" t="s">
        <v>418</v>
      </c>
      <c r="EL1" s="19" t="s">
        <v>419</v>
      </c>
      <c r="EM1" s="19" t="s">
        <v>420</v>
      </c>
      <c r="EN1" s="19" t="s">
        <v>421</v>
      </c>
      <c r="EO1" s="19" t="s">
        <v>422</v>
      </c>
      <c r="EP1" s="19" t="s">
        <v>423</v>
      </c>
    </row>
    <row r="2" spans="1:146" x14ac:dyDescent="0.3">
      <c r="A2" s="19" t="s">
        <v>280</v>
      </c>
      <c r="B2" s="19" t="s">
        <v>424</v>
      </c>
      <c r="C2" s="19" t="s">
        <v>425</v>
      </c>
      <c r="D2" s="19" t="s">
        <v>426</v>
      </c>
      <c r="E2" s="19" t="s">
        <v>283</v>
      </c>
      <c r="F2" s="19" t="s">
        <v>427</v>
      </c>
      <c r="G2" s="19" t="s">
        <v>427</v>
      </c>
      <c r="H2" s="19" t="s">
        <v>427</v>
      </c>
      <c r="I2" s="19" t="s">
        <v>428</v>
      </c>
      <c r="J2" s="19" t="s">
        <v>429</v>
      </c>
      <c r="K2" s="19" t="s">
        <v>430</v>
      </c>
      <c r="L2" s="19" t="s">
        <v>430</v>
      </c>
      <c r="M2" s="19" t="s">
        <v>431</v>
      </c>
      <c r="N2" s="19" t="s">
        <v>432</v>
      </c>
      <c r="O2" s="19" t="s">
        <v>429</v>
      </c>
      <c r="P2" s="19" t="s">
        <v>433</v>
      </c>
      <c r="Q2" s="19" t="s">
        <v>434</v>
      </c>
      <c r="R2" s="19" t="s">
        <v>435</v>
      </c>
      <c r="S2" s="19" t="s">
        <v>427</v>
      </c>
      <c r="T2" s="19" t="s">
        <v>427</v>
      </c>
      <c r="U2" s="19" t="s">
        <v>432</v>
      </c>
      <c r="V2" s="19" t="s">
        <v>436</v>
      </c>
      <c r="W2" s="19" t="s">
        <v>436</v>
      </c>
      <c r="X2" s="19" t="s">
        <v>427</v>
      </c>
      <c r="Y2" s="19" t="s">
        <v>437</v>
      </c>
      <c r="Z2" s="19" t="s">
        <v>432</v>
      </c>
      <c r="AA2" s="19" t="s">
        <v>430</v>
      </c>
      <c r="AB2" s="19" t="s">
        <v>432</v>
      </c>
      <c r="AC2" s="19" t="s">
        <v>438</v>
      </c>
      <c r="AD2" s="19" t="s">
        <v>430</v>
      </c>
      <c r="AE2" s="19" t="s">
        <v>430</v>
      </c>
      <c r="AF2" s="19" t="s">
        <v>439</v>
      </c>
      <c r="AG2" s="19" t="s">
        <v>440</v>
      </c>
      <c r="AH2" s="19" t="s">
        <v>441</v>
      </c>
      <c r="AI2" s="19" t="s">
        <v>432</v>
      </c>
      <c r="AJ2" s="19" t="s">
        <v>432</v>
      </c>
      <c r="AK2" s="19" t="s">
        <v>442</v>
      </c>
      <c r="AL2" s="19" t="s">
        <v>442</v>
      </c>
      <c r="AM2" s="19" t="s">
        <v>443</v>
      </c>
      <c r="AN2" s="19" t="s">
        <v>443</v>
      </c>
      <c r="AO2" s="19" t="s">
        <v>443</v>
      </c>
      <c r="AP2" s="19" t="s">
        <v>444</v>
      </c>
      <c r="AQ2" s="19" t="s">
        <v>445</v>
      </c>
      <c r="AR2" s="19" t="s">
        <v>446</v>
      </c>
      <c r="AS2" s="19" t="s">
        <v>443</v>
      </c>
      <c r="AT2" s="19" t="s">
        <v>445</v>
      </c>
      <c r="AU2" s="19" t="s">
        <v>445</v>
      </c>
      <c r="AV2" s="19" t="s">
        <v>429</v>
      </c>
      <c r="AW2" s="19" t="s">
        <v>434</v>
      </c>
      <c r="AX2" s="19" t="s">
        <v>427</v>
      </c>
      <c r="AY2" s="19" t="s">
        <v>427</v>
      </c>
      <c r="AZ2" s="19" t="s">
        <v>427</v>
      </c>
      <c r="BA2" s="19" t="s">
        <v>447</v>
      </c>
      <c r="BB2" s="19" t="s">
        <v>432</v>
      </c>
      <c r="BC2" s="19" t="s">
        <v>430</v>
      </c>
      <c r="BD2" s="19" t="s">
        <v>430</v>
      </c>
      <c r="BE2" s="19" t="s">
        <v>427</v>
      </c>
      <c r="BF2" s="19" t="s">
        <v>448</v>
      </c>
      <c r="BG2" s="19" t="s">
        <v>427</v>
      </c>
      <c r="BH2" s="19" t="s">
        <v>434</v>
      </c>
      <c r="BI2" s="19" t="s">
        <v>443</v>
      </c>
      <c r="BJ2" s="19" t="s">
        <v>443</v>
      </c>
      <c r="BK2" s="19" t="s">
        <v>434</v>
      </c>
      <c r="BL2" s="19" t="s">
        <v>434</v>
      </c>
      <c r="BM2" s="19" t="s">
        <v>449</v>
      </c>
      <c r="BN2" s="19" t="s">
        <v>450</v>
      </c>
      <c r="BO2" s="19" t="s">
        <v>427</v>
      </c>
      <c r="BP2" s="19" t="s">
        <v>448</v>
      </c>
      <c r="BQ2" s="19" t="s">
        <v>427</v>
      </c>
      <c r="BR2" s="19" t="s">
        <v>451</v>
      </c>
      <c r="BS2" s="19" t="s">
        <v>427</v>
      </c>
      <c r="BT2" s="19" t="s">
        <v>434</v>
      </c>
      <c r="BU2" s="19" t="s">
        <v>427</v>
      </c>
      <c r="BV2" s="19" t="s">
        <v>430</v>
      </c>
      <c r="BW2" s="19" t="s">
        <v>452</v>
      </c>
      <c r="BX2" s="19" t="s">
        <v>432</v>
      </c>
      <c r="BY2" s="19" t="s">
        <v>432</v>
      </c>
      <c r="BZ2" s="19" t="s">
        <v>453</v>
      </c>
      <c r="CA2" s="19" t="s">
        <v>432</v>
      </c>
      <c r="CB2" s="19" t="s">
        <v>452</v>
      </c>
      <c r="CC2" s="19" t="s">
        <v>454</v>
      </c>
      <c r="CD2" s="19" t="s">
        <v>434</v>
      </c>
      <c r="CE2" s="19" t="s">
        <v>455</v>
      </c>
      <c r="CF2" s="19" t="s">
        <v>456</v>
      </c>
      <c r="CG2" s="19" t="s">
        <v>427</v>
      </c>
      <c r="CH2" s="19" t="s">
        <v>432</v>
      </c>
      <c r="CI2" s="19" t="s">
        <v>427</v>
      </c>
      <c r="CJ2" s="19" t="s">
        <v>436</v>
      </c>
      <c r="CK2" s="19" t="s">
        <v>427</v>
      </c>
      <c r="CL2" s="19" t="s">
        <v>432</v>
      </c>
      <c r="CM2" s="19" t="s">
        <v>432</v>
      </c>
      <c r="CN2" s="19" t="s">
        <v>432</v>
      </c>
      <c r="CO2" s="19" t="s">
        <v>457</v>
      </c>
      <c r="CP2" s="19" t="s">
        <v>436</v>
      </c>
      <c r="CQ2" s="19" t="s">
        <v>430</v>
      </c>
      <c r="CR2" s="19" t="s">
        <v>427</v>
      </c>
      <c r="CS2" s="19" t="s">
        <v>427</v>
      </c>
      <c r="CT2" s="19" t="s">
        <v>458</v>
      </c>
      <c r="CU2" s="19" t="s">
        <v>459</v>
      </c>
      <c r="CV2" s="19" t="s">
        <v>432</v>
      </c>
      <c r="CW2" s="19" t="s">
        <v>434</v>
      </c>
      <c r="CX2" s="19" t="s">
        <v>430</v>
      </c>
      <c r="CY2" s="19" t="s">
        <v>448</v>
      </c>
      <c r="CZ2" s="19" t="s">
        <v>427</v>
      </c>
      <c r="DA2" s="19" t="s">
        <v>429</v>
      </c>
      <c r="DB2" s="19" t="s">
        <v>460</v>
      </c>
      <c r="DC2" s="19" t="s">
        <v>461</v>
      </c>
      <c r="DD2" s="19" t="s">
        <v>461</v>
      </c>
      <c r="DE2" s="19" t="s">
        <v>461</v>
      </c>
      <c r="DF2" s="19" t="s">
        <v>461</v>
      </c>
      <c r="DG2" s="19" t="s">
        <v>461</v>
      </c>
      <c r="DH2" s="19" t="s">
        <v>461</v>
      </c>
      <c r="DI2" s="19" t="s">
        <v>461</v>
      </c>
      <c r="DJ2" s="19" t="s">
        <v>461</v>
      </c>
      <c r="DK2" s="19" t="s">
        <v>461</v>
      </c>
      <c r="DL2" s="19" t="s">
        <v>461</v>
      </c>
      <c r="DM2" s="19" t="s">
        <v>461</v>
      </c>
      <c r="DN2" s="19" t="s">
        <v>461</v>
      </c>
      <c r="DO2" s="19" t="s">
        <v>461</v>
      </c>
      <c r="DP2" s="19" t="s">
        <v>461</v>
      </c>
      <c r="DQ2" s="19" t="s">
        <v>461</v>
      </c>
      <c r="DR2" s="19" t="s">
        <v>461</v>
      </c>
      <c r="DS2" s="19" t="s">
        <v>461</v>
      </c>
      <c r="DT2" s="19" t="s">
        <v>461</v>
      </c>
      <c r="DU2" s="19" t="s">
        <v>462</v>
      </c>
      <c r="DV2" s="19" t="s">
        <v>462</v>
      </c>
      <c r="DW2" s="19" t="s">
        <v>461</v>
      </c>
      <c r="DX2" s="19" t="s">
        <v>461</v>
      </c>
      <c r="DY2" s="19" t="s">
        <v>461</v>
      </c>
      <c r="DZ2" s="19" t="s">
        <v>461</v>
      </c>
      <c r="EA2" s="19" t="s">
        <v>461</v>
      </c>
      <c r="EB2" s="19" t="s">
        <v>461</v>
      </c>
      <c r="EC2" s="19" t="s">
        <v>461</v>
      </c>
      <c r="ED2" s="19" t="s">
        <v>461</v>
      </c>
      <c r="EE2" s="19" t="s">
        <v>461</v>
      </c>
      <c r="EF2" s="19" t="s">
        <v>461</v>
      </c>
      <c r="EG2" s="19" t="s">
        <v>461</v>
      </c>
      <c r="EH2" s="19" t="s">
        <v>461</v>
      </c>
      <c r="EI2" s="19" t="s">
        <v>461</v>
      </c>
      <c r="EJ2" s="19" t="s">
        <v>461</v>
      </c>
      <c r="EK2" s="19" t="s">
        <v>461</v>
      </c>
      <c r="EL2" s="19" t="s">
        <v>461</v>
      </c>
      <c r="EM2" s="19" t="s">
        <v>461</v>
      </c>
      <c r="EN2" s="19" t="s">
        <v>461</v>
      </c>
      <c r="EO2" s="19" t="s">
        <v>461</v>
      </c>
      <c r="EP2" s="19" t="s">
        <v>461</v>
      </c>
    </row>
    <row r="3" spans="1:146" x14ac:dyDescent="0.3">
      <c r="A3" s="19" t="s">
        <v>281</v>
      </c>
      <c r="C3" s="19" t="s">
        <v>463</v>
      </c>
      <c r="D3" s="19" t="s">
        <v>464</v>
      </c>
      <c r="E3" s="19" t="s">
        <v>284</v>
      </c>
      <c r="F3" s="19" t="s">
        <v>452</v>
      </c>
      <c r="G3" s="19" t="s">
        <v>452</v>
      </c>
      <c r="H3" s="19" t="s">
        <v>452</v>
      </c>
      <c r="I3" s="19" t="s">
        <v>465</v>
      </c>
      <c r="J3" s="19" t="s">
        <v>466</v>
      </c>
      <c r="K3" s="19" t="s">
        <v>467</v>
      </c>
      <c r="L3" s="19" t="s">
        <v>467</v>
      </c>
      <c r="M3" s="19" t="s">
        <v>468</v>
      </c>
      <c r="N3" s="19" t="s">
        <v>469</v>
      </c>
      <c r="O3" s="19" t="s">
        <v>466</v>
      </c>
      <c r="P3" s="19" t="s">
        <v>470</v>
      </c>
      <c r="Q3" s="19" t="s">
        <v>471</v>
      </c>
      <c r="R3" s="19" t="s">
        <v>472</v>
      </c>
      <c r="S3" s="19" t="s">
        <v>473</v>
      </c>
      <c r="T3" s="19" t="s">
        <v>473</v>
      </c>
      <c r="U3" s="19" t="s">
        <v>469</v>
      </c>
      <c r="V3" s="19" t="s">
        <v>469</v>
      </c>
      <c r="W3" s="19" t="s">
        <v>469</v>
      </c>
      <c r="X3" s="19" t="s">
        <v>473</v>
      </c>
      <c r="Y3" s="19" t="s">
        <v>474</v>
      </c>
      <c r="Z3" s="19" t="s">
        <v>469</v>
      </c>
      <c r="AA3" s="19" t="s">
        <v>467</v>
      </c>
      <c r="AB3" s="19" t="s">
        <v>469</v>
      </c>
      <c r="AC3" s="19" t="s">
        <v>475</v>
      </c>
      <c r="AD3" s="19" t="s">
        <v>467</v>
      </c>
      <c r="AE3" s="19" t="s">
        <v>467</v>
      </c>
      <c r="AF3" s="19" t="s">
        <v>432</v>
      </c>
      <c r="AG3" s="19" t="s">
        <v>466</v>
      </c>
      <c r="AH3" s="19" t="s">
        <v>476</v>
      </c>
      <c r="AI3" s="19" t="s">
        <v>435</v>
      </c>
      <c r="AJ3" s="19" t="s">
        <v>435</v>
      </c>
      <c r="AK3" s="19" t="s">
        <v>477</v>
      </c>
      <c r="AL3" s="19" t="s">
        <v>477</v>
      </c>
      <c r="AM3" s="19" t="s">
        <v>478</v>
      </c>
      <c r="AN3" s="19" t="s">
        <v>434</v>
      </c>
      <c r="AO3" s="19" t="s">
        <v>434</v>
      </c>
      <c r="AP3" s="19" t="s">
        <v>450</v>
      </c>
      <c r="AQ3" s="19" t="s">
        <v>447</v>
      </c>
      <c r="AR3" s="19" t="s">
        <v>479</v>
      </c>
      <c r="AS3" s="19" t="s">
        <v>454</v>
      </c>
      <c r="AT3" s="19" t="s">
        <v>466</v>
      </c>
      <c r="AU3" s="19" t="s">
        <v>466</v>
      </c>
      <c r="AV3" s="19" t="s">
        <v>466</v>
      </c>
      <c r="AW3" s="19" t="s">
        <v>475</v>
      </c>
      <c r="AX3" s="19" t="s">
        <v>475</v>
      </c>
      <c r="AY3" s="19" t="s">
        <v>475</v>
      </c>
      <c r="AZ3" s="19" t="s">
        <v>475</v>
      </c>
      <c r="BA3" s="19" t="s">
        <v>430</v>
      </c>
      <c r="BB3" s="19" t="s">
        <v>480</v>
      </c>
      <c r="BC3" s="19" t="s">
        <v>467</v>
      </c>
      <c r="BD3" s="19" t="s">
        <v>467</v>
      </c>
      <c r="BE3" s="19" t="s">
        <v>481</v>
      </c>
      <c r="BF3" s="19" t="s">
        <v>454</v>
      </c>
      <c r="BG3" s="19" t="s">
        <v>481</v>
      </c>
      <c r="BH3" s="19" t="s">
        <v>454</v>
      </c>
      <c r="BI3" s="19" t="s">
        <v>434</v>
      </c>
      <c r="BJ3" s="19" t="s">
        <v>434</v>
      </c>
      <c r="BK3" s="19" t="s">
        <v>442</v>
      </c>
      <c r="BL3" s="19" t="s">
        <v>442</v>
      </c>
      <c r="BM3" s="19" t="s">
        <v>477</v>
      </c>
      <c r="BN3" s="19" t="s">
        <v>467</v>
      </c>
      <c r="BO3" s="19" t="s">
        <v>481</v>
      </c>
      <c r="BP3" s="19" t="s">
        <v>482</v>
      </c>
      <c r="BQ3" s="19" t="s">
        <v>483</v>
      </c>
      <c r="BR3" s="19" t="s">
        <v>483</v>
      </c>
      <c r="BS3" s="19" t="s">
        <v>481</v>
      </c>
      <c r="BT3" s="19" t="s">
        <v>451</v>
      </c>
      <c r="BU3" s="19" t="s">
        <v>483</v>
      </c>
      <c r="BV3" s="19" t="s">
        <v>467</v>
      </c>
      <c r="BW3" s="19" t="s">
        <v>448</v>
      </c>
      <c r="BX3" s="19" t="s">
        <v>436</v>
      </c>
      <c r="BY3" s="19" t="s">
        <v>436</v>
      </c>
      <c r="BZ3" s="19" t="s">
        <v>484</v>
      </c>
      <c r="CA3" s="19" t="s">
        <v>480</v>
      </c>
      <c r="CB3" s="19" t="s">
        <v>466</v>
      </c>
      <c r="CC3" s="19" t="s">
        <v>485</v>
      </c>
      <c r="CF3" s="19" t="s">
        <v>486</v>
      </c>
      <c r="CG3" s="19" t="s">
        <v>487</v>
      </c>
      <c r="CH3" s="19" t="s">
        <v>480</v>
      </c>
      <c r="CI3" s="19" t="s">
        <v>487</v>
      </c>
      <c r="CJ3" s="19" t="s">
        <v>480</v>
      </c>
      <c r="CK3" s="19" t="s">
        <v>487</v>
      </c>
      <c r="CL3" s="19" t="s">
        <v>480</v>
      </c>
      <c r="CM3" s="19" t="s">
        <v>480</v>
      </c>
      <c r="CN3" s="19" t="s">
        <v>480</v>
      </c>
      <c r="CO3" s="19" t="s">
        <v>488</v>
      </c>
      <c r="CP3" s="19" t="s">
        <v>477</v>
      </c>
      <c r="CQ3" s="19" t="s">
        <v>467</v>
      </c>
      <c r="CR3" s="19" t="s">
        <v>489</v>
      </c>
      <c r="CS3" s="19" t="s">
        <v>483</v>
      </c>
      <c r="CT3" s="19" t="s">
        <v>467</v>
      </c>
      <c r="CU3" s="19" t="s">
        <v>490</v>
      </c>
      <c r="CV3" s="19" t="s">
        <v>480</v>
      </c>
      <c r="CW3" s="19" t="s">
        <v>491</v>
      </c>
      <c r="CX3" s="19" t="s">
        <v>467</v>
      </c>
      <c r="CY3" s="19" t="s">
        <v>492</v>
      </c>
      <c r="CZ3" s="19" t="s">
        <v>487</v>
      </c>
      <c r="DA3" s="19" t="s">
        <v>466</v>
      </c>
      <c r="DB3" s="19" t="s">
        <v>466</v>
      </c>
      <c r="DC3" s="19" t="s">
        <v>493</v>
      </c>
      <c r="DD3" s="19" t="s">
        <v>493</v>
      </c>
      <c r="DE3" s="19" t="s">
        <v>493</v>
      </c>
      <c r="DF3" s="19" t="s">
        <v>493</v>
      </c>
      <c r="DG3" s="19" t="s">
        <v>493</v>
      </c>
      <c r="DH3" s="19" t="s">
        <v>493</v>
      </c>
      <c r="DI3" s="19" t="s">
        <v>493</v>
      </c>
      <c r="DJ3" s="19" t="s">
        <v>493</v>
      </c>
      <c r="DK3" s="19" t="s">
        <v>494</v>
      </c>
      <c r="DL3" s="19" t="s">
        <v>494</v>
      </c>
      <c r="DM3" s="19" t="s">
        <v>494</v>
      </c>
      <c r="DN3" s="19" t="s">
        <v>494</v>
      </c>
      <c r="DO3" s="19" t="s">
        <v>494</v>
      </c>
      <c r="DP3" s="19" t="s">
        <v>494</v>
      </c>
      <c r="DQ3" s="19" t="s">
        <v>494</v>
      </c>
      <c r="DR3" s="19" t="s">
        <v>494</v>
      </c>
      <c r="DS3" s="19" t="s">
        <v>494</v>
      </c>
      <c r="DT3" s="19" t="s">
        <v>494</v>
      </c>
      <c r="DU3" s="19" t="s">
        <v>495</v>
      </c>
      <c r="DV3" s="19" t="s">
        <v>495</v>
      </c>
      <c r="DW3" s="19" t="s">
        <v>494</v>
      </c>
      <c r="DX3" s="19" t="s">
        <v>494</v>
      </c>
      <c r="DY3" s="19" t="s">
        <v>494</v>
      </c>
      <c r="DZ3" s="19" t="s">
        <v>494</v>
      </c>
      <c r="EA3" s="19" t="s">
        <v>494</v>
      </c>
      <c r="EB3" s="19" t="s">
        <v>494</v>
      </c>
      <c r="EC3" s="19" t="s">
        <v>494</v>
      </c>
      <c r="ED3" s="19" t="s">
        <v>494</v>
      </c>
      <c r="EE3" s="19" t="s">
        <v>494</v>
      </c>
      <c r="EF3" s="19" t="s">
        <v>494</v>
      </c>
      <c r="EG3" s="19" t="s">
        <v>496</v>
      </c>
      <c r="EH3" s="19" t="s">
        <v>496</v>
      </c>
      <c r="EI3" s="19" t="s">
        <v>496</v>
      </c>
      <c r="EJ3" s="19" t="s">
        <v>496</v>
      </c>
      <c r="EK3" s="19" t="s">
        <v>496</v>
      </c>
      <c r="EL3" s="19" t="s">
        <v>497</v>
      </c>
      <c r="EM3" s="19" t="s">
        <v>496</v>
      </c>
      <c r="EN3" s="19" t="s">
        <v>496</v>
      </c>
      <c r="EO3" s="19" t="s">
        <v>496</v>
      </c>
      <c r="EP3" s="19" t="s">
        <v>496</v>
      </c>
    </row>
    <row r="4" spans="1:146" x14ac:dyDescent="0.3">
      <c r="C4" s="19" t="s">
        <v>498</v>
      </c>
      <c r="D4" s="19" t="s">
        <v>499</v>
      </c>
      <c r="E4" s="19" t="s">
        <v>285</v>
      </c>
      <c r="F4" s="19" t="s">
        <v>500</v>
      </c>
      <c r="G4" s="19" t="s">
        <v>501</v>
      </c>
      <c r="H4" s="19" t="s">
        <v>501</v>
      </c>
      <c r="I4" s="19" t="s">
        <v>502</v>
      </c>
      <c r="J4" s="19" t="s">
        <v>503</v>
      </c>
      <c r="K4" s="19" t="s">
        <v>504</v>
      </c>
      <c r="L4" s="19" t="s">
        <v>504</v>
      </c>
      <c r="M4" s="19" t="s">
        <v>505</v>
      </c>
      <c r="N4" s="19" t="s">
        <v>450</v>
      </c>
      <c r="O4" s="19" t="s">
        <v>450</v>
      </c>
      <c r="P4" s="19" t="s">
        <v>506</v>
      </c>
      <c r="Q4" s="19" t="s">
        <v>507</v>
      </c>
      <c r="R4" s="19" t="s">
        <v>508</v>
      </c>
      <c r="S4" s="19" t="s">
        <v>509</v>
      </c>
      <c r="T4" s="19" t="s">
        <v>509</v>
      </c>
      <c r="U4" s="19" t="s">
        <v>450</v>
      </c>
      <c r="V4" s="19" t="s">
        <v>430</v>
      </c>
      <c r="W4" s="19" t="s">
        <v>430</v>
      </c>
      <c r="X4" s="19" t="s">
        <v>483</v>
      </c>
      <c r="Y4" s="19" t="s">
        <v>510</v>
      </c>
      <c r="Z4" s="19" t="s">
        <v>450</v>
      </c>
      <c r="AA4" s="19" t="s">
        <v>504</v>
      </c>
      <c r="AB4" s="19" t="s">
        <v>450</v>
      </c>
      <c r="AC4" s="19" t="s">
        <v>481</v>
      </c>
      <c r="AD4" s="19" t="s">
        <v>504</v>
      </c>
      <c r="AE4" s="19" t="s">
        <v>504</v>
      </c>
      <c r="AF4" s="19" t="s">
        <v>508</v>
      </c>
      <c r="AG4" s="19" t="s">
        <v>476</v>
      </c>
      <c r="AH4" s="19" t="s">
        <v>430</v>
      </c>
      <c r="AI4" s="19" t="s">
        <v>450</v>
      </c>
      <c r="AJ4" s="19" t="s">
        <v>450</v>
      </c>
      <c r="AK4" s="19" t="s">
        <v>511</v>
      </c>
      <c r="AL4" s="19" t="s">
        <v>511</v>
      </c>
      <c r="AM4" s="19" t="s">
        <v>450</v>
      </c>
      <c r="AN4" s="19" t="s">
        <v>512</v>
      </c>
      <c r="AO4" s="19" t="s">
        <v>512</v>
      </c>
      <c r="AP4" s="19" t="s">
        <v>467</v>
      </c>
      <c r="AQ4" s="19" t="s">
        <v>511</v>
      </c>
      <c r="AR4" s="19" t="s">
        <v>513</v>
      </c>
      <c r="AS4" s="19" t="s">
        <v>512</v>
      </c>
      <c r="AT4" s="19" t="s">
        <v>514</v>
      </c>
      <c r="AU4" s="19" t="s">
        <v>514</v>
      </c>
      <c r="AV4" s="19" t="s">
        <v>515</v>
      </c>
      <c r="AW4" s="19" t="s">
        <v>455</v>
      </c>
      <c r="AX4" s="19" t="s">
        <v>455</v>
      </c>
      <c r="AY4" s="19" t="s">
        <v>455</v>
      </c>
      <c r="AZ4" s="19" t="s">
        <v>455</v>
      </c>
      <c r="BA4" s="19" t="s">
        <v>467</v>
      </c>
      <c r="BB4" s="19" t="s">
        <v>450</v>
      </c>
      <c r="BC4" s="19" t="s">
        <v>504</v>
      </c>
      <c r="BD4" s="19" t="s">
        <v>504</v>
      </c>
      <c r="BE4" s="19" t="s">
        <v>456</v>
      </c>
      <c r="BF4" s="19" t="s">
        <v>512</v>
      </c>
      <c r="BG4" s="19" t="s">
        <v>456</v>
      </c>
      <c r="BH4" s="19" t="s">
        <v>485</v>
      </c>
      <c r="BI4" s="19" t="s">
        <v>516</v>
      </c>
      <c r="BJ4" s="19" t="s">
        <v>512</v>
      </c>
      <c r="BK4" s="19" t="s">
        <v>478</v>
      </c>
      <c r="BL4" s="19" t="s">
        <v>478</v>
      </c>
      <c r="BM4" s="19" t="s">
        <v>454</v>
      </c>
      <c r="BN4" s="19" t="s">
        <v>517</v>
      </c>
      <c r="BO4" s="19" t="s">
        <v>456</v>
      </c>
      <c r="BP4" s="19" t="s">
        <v>518</v>
      </c>
      <c r="BQ4" s="19" t="s">
        <v>455</v>
      </c>
      <c r="BR4" s="19" t="s">
        <v>430</v>
      </c>
      <c r="BS4" s="19" t="s">
        <v>456</v>
      </c>
      <c r="BT4" s="19" t="s">
        <v>483</v>
      </c>
      <c r="BU4" s="19" t="s">
        <v>455</v>
      </c>
      <c r="BV4" s="19" t="s">
        <v>504</v>
      </c>
      <c r="BW4" s="19" t="s">
        <v>432</v>
      </c>
      <c r="BX4" s="19" t="s">
        <v>458</v>
      </c>
      <c r="BY4" s="19" t="s">
        <v>458</v>
      </c>
      <c r="BZ4" s="19" t="s">
        <v>519</v>
      </c>
      <c r="CA4" s="19" t="s">
        <v>458</v>
      </c>
      <c r="CB4" s="19" t="s">
        <v>458</v>
      </c>
      <c r="CC4" s="19" t="s">
        <v>520</v>
      </c>
      <c r="CF4" s="19" t="s">
        <v>521</v>
      </c>
      <c r="CG4" s="19" t="s">
        <v>456</v>
      </c>
      <c r="CH4" s="19" t="s">
        <v>458</v>
      </c>
      <c r="CI4" s="19" t="s">
        <v>456</v>
      </c>
      <c r="CJ4" s="19" t="s">
        <v>430</v>
      </c>
      <c r="CK4" s="19" t="s">
        <v>456</v>
      </c>
      <c r="CL4" s="19" t="s">
        <v>458</v>
      </c>
      <c r="CM4" s="19" t="s">
        <v>458</v>
      </c>
      <c r="CN4" s="19" t="s">
        <v>458</v>
      </c>
      <c r="CO4" s="19" t="s">
        <v>522</v>
      </c>
      <c r="CP4" s="19" t="s">
        <v>430</v>
      </c>
      <c r="CQ4" s="19" t="s">
        <v>523</v>
      </c>
      <c r="CR4" s="19" t="s">
        <v>524</v>
      </c>
      <c r="CS4" s="19" t="s">
        <v>481</v>
      </c>
      <c r="CT4" s="19" t="s">
        <v>488</v>
      </c>
      <c r="CU4" s="19" t="s">
        <v>511</v>
      </c>
      <c r="CV4" s="19" t="s">
        <v>458</v>
      </c>
      <c r="CW4" s="19" t="s">
        <v>454</v>
      </c>
      <c r="CX4" s="19" t="s">
        <v>504</v>
      </c>
      <c r="CY4" s="19" t="s">
        <v>525</v>
      </c>
      <c r="CZ4" s="19" t="s">
        <v>515</v>
      </c>
      <c r="DA4" s="19" t="s">
        <v>450</v>
      </c>
      <c r="DB4" s="19" t="s">
        <v>488</v>
      </c>
      <c r="DC4" s="19" t="s">
        <v>526</v>
      </c>
      <c r="DD4" s="19" t="s">
        <v>526</v>
      </c>
      <c r="DE4" s="19" t="s">
        <v>526</v>
      </c>
      <c r="DF4" s="19" t="s">
        <v>526</v>
      </c>
      <c r="DG4" s="19" t="s">
        <v>526</v>
      </c>
      <c r="DH4" s="19" t="s">
        <v>526</v>
      </c>
      <c r="DI4" s="19" t="s">
        <v>526</v>
      </c>
      <c r="DJ4" s="19" t="s">
        <v>526</v>
      </c>
      <c r="DK4" s="19" t="s">
        <v>526</v>
      </c>
      <c r="DL4" s="19" t="s">
        <v>526</v>
      </c>
      <c r="DM4" s="19" t="s">
        <v>526</v>
      </c>
      <c r="DN4" s="19" t="s">
        <v>526</v>
      </c>
      <c r="DO4" s="19" t="s">
        <v>526</v>
      </c>
      <c r="DP4" s="19" t="s">
        <v>526</v>
      </c>
      <c r="DQ4" s="19" t="s">
        <v>526</v>
      </c>
      <c r="DR4" s="19" t="s">
        <v>526</v>
      </c>
      <c r="DS4" s="19" t="s">
        <v>526</v>
      </c>
      <c r="DT4" s="19" t="s">
        <v>526</v>
      </c>
      <c r="DW4" s="19" t="s">
        <v>527</v>
      </c>
      <c r="DX4" s="19" t="s">
        <v>527</v>
      </c>
      <c r="DY4" s="19" t="s">
        <v>527</v>
      </c>
      <c r="DZ4" s="19" t="s">
        <v>527</v>
      </c>
      <c r="EA4" s="19" t="s">
        <v>527</v>
      </c>
      <c r="EB4" s="19" t="s">
        <v>527</v>
      </c>
      <c r="EC4" s="19" t="s">
        <v>527</v>
      </c>
      <c r="ED4" s="19" t="s">
        <v>527</v>
      </c>
      <c r="EE4" s="19" t="s">
        <v>527</v>
      </c>
      <c r="EF4" s="19" t="s">
        <v>527</v>
      </c>
      <c r="EG4" s="19" t="s">
        <v>528</v>
      </c>
      <c r="EH4" s="19" t="s">
        <v>528</v>
      </c>
      <c r="EI4" s="19" t="s">
        <v>528</v>
      </c>
      <c r="EJ4" s="19" t="s">
        <v>528</v>
      </c>
      <c r="EK4" s="19" t="s">
        <v>528</v>
      </c>
      <c r="EL4" s="19" t="s">
        <v>529</v>
      </c>
      <c r="EM4" s="19" t="s">
        <v>528</v>
      </c>
      <c r="EN4" s="19" t="s">
        <v>528</v>
      </c>
      <c r="EO4" s="19" t="s">
        <v>528</v>
      </c>
      <c r="EP4" s="19" t="s">
        <v>528</v>
      </c>
    </row>
    <row r="5" spans="1:146" x14ac:dyDescent="0.3">
      <c r="C5" s="19" t="s">
        <v>530</v>
      </c>
      <c r="D5" s="19" t="s">
        <v>531</v>
      </c>
      <c r="E5" s="19" t="s">
        <v>286</v>
      </c>
      <c r="F5" s="19" t="s">
        <v>524</v>
      </c>
      <c r="G5" s="19" t="s">
        <v>500</v>
      </c>
      <c r="H5" s="19" t="s">
        <v>481</v>
      </c>
      <c r="I5" s="19" t="s">
        <v>532</v>
      </c>
      <c r="J5" s="19" t="s">
        <v>533</v>
      </c>
      <c r="K5" s="19" t="s">
        <v>534</v>
      </c>
      <c r="L5" s="19" t="s">
        <v>534</v>
      </c>
      <c r="M5" s="19" t="s">
        <v>535</v>
      </c>
      <c r="N5" s="19" t="s">
        <v>467</v>
      </c>
      <c r="O5" s="19" t="s">
        <v>467</v>
      </c>
      <c r="P5" s="19" t="s">
        <v>536</v>
      </c>
      <c r="Q5" s="19" t="s">
        <v>537</v>
      </c>
      <c r="R5" s="19" t="s">
        <v>538</v>
      </c>
      <c r="S5" s="19" t="s">
        <v>524</v>
      </c>
      <c r="T5" s="19" t="s">
        <v>524</v>
      </c>
      <c r="U5" s="19" t="s">
        <v>467</v>
      </c>
      <c r="V5" s="19" t="s">
        <v>467</v>
      </c>
      <c r="W5" s="19" t="s">
        <v>467</v>
      </c>
      <c r="X5" s="19" t="s">
        <v>481</v>
      </c>
      <c r="Y5" s="19" t="s">
        <v>481</v>
      </c>
      <c r="Z5" s="19" t="s">
        <v>467</v>
      </c>
      <c r="AA5" s="19" t="s">
        <v>534</v>
      </c>
      <c r="AB5" s="19" t="s">
        <v>467</v>
      </c>
      <c r="AC5" s="19" t="s">
        <v>539</v>
      </c>
      <c r="AD5" s="19" t="s">
        <v>534</v>
      </c>
      <c r="AE5" s="19" t="s">
        <v>534</v>
      </c>
      <c r="AF5" s="19" t="s">
        <v>540</v>
      </c>
      <c r="AG5" s="19" t="s">
        <v>541</v>
      </c>
      <c r="AH5" s="19" t="s">
        <v>467</v>
      </c>
      <c r="AI5" s="19" t="s">
        <v>454</v>
      </c>
      <c r="AJ5" s="19" t="s">
        <v>454</v>
      </c>
      <c r="AK5" s="19" t="s">
        <v>454</v>
      </c>
      <c r="AL5" s="19" t="s">
        <v>454</v>
      </c>
      <c r="AM5" s="19" t="s">
        <v>542</v>
      </c>
      <c r="AN5" s="19" t="s">
        <v>543</v>
      </c>
      <c r="AO5" s="19" t="s">
        <v>543</v>
      </c>
      <c r="AP5" s="19" t="s">
        <v>542</v>
      </c>
      <c r="AQ5" s="19" t="s">
        <v>467</v>
      </c>
      <c r="AR5" s="19" t="s">
        <v>544</v>
      </c>
      <c r="AS5" s="19" t="s">
        <v>545</v>
      </c>
      <c r="AT5" s="19" t="s">
        <v>467</v>
      </c>
      <c r="AU5" s="19" t="s">
        <v>467</v>
      </c>
      <c r="AV5" s="19" t="s">
        <v>488</v>
      </c>
      <c r="AW5" s="19" t="s">
        <v>524</v>
      </c>
      <c r="AX5" s="19" t="s">
        <v>456</v>
      </c>
      <c r="AY5" s="19" t="s">
        <v>456</v>
      </c>
      <c r="AZ5" s="19" t="s">
        <v>456</v>
      </c>
      <c r="BA5" s="19" t="s">
        <v>546</v>
      </c>
      <c r="BB5" s="19" t="s">
        <v>467</v>
      </c>
      <c r="BC5" s="19" t="s">
        <v>534</v>
      </c>
      <c r="BD5" s="19" t="s">
        <v>534</v>
      </c>
      <c r="BE5" s="19" t="s">
        <v>547</v>
      </c>
      <c r="BF5" s="19" t="s">
        <v>548</v>
      </c>
      <c r="BG5" s="19" t="s">
        <v>547</v>
      </c>
      <c r="BH5" s="19" t="s">
        <v>548</v>
      </c>
      <c r="BI5" s="19" t="s">
        <v>512</v>
      </c>
      <c r="BJ5" s="19" t="s">
        <v>549</v>
      </c>
      <c r="BK5" s="19" t="s">
        <v>550</v>
      </c>
      <c r="BL5" s="19" t="s">
        <v>550</v>
      </c>
      <c r="BM5" s="19" t="s">
        <v>551</v>
      </c>
      <c r="BN5" s="19" t="s">
        <v>552</v>
      </c>
      <c r="BO5" s="19" t="s">
        <v>547</v>
      </c>
      <c r="BP5" s="19" t="s">
        <v>512</v>
      </c>
      <c r="BQ5" s="19" t="s">
        <v>481</v>
      </c>
      <c r="BR5" s="19" t="s">
        <v>467</v>
      </c>
      <c r="BS5" s="19" t="s">
        <v>547</v>
      </c>
      <c r="BT5" s="19" t="s">
        <v>454</v>
      </c>
      <c r="BU5" s="19" t="s">
        <v>481</v>
      </c>
      <c r="BV5" s="19" t="s">
        <v>534</v>
      </c>
      <c r="BW5" s="19" t="s">
        <v>480</v>
      </c>
      <c r="BX5" s="19" t="s">
        <v>430</v>
      </c>
      <c r="BY5" s="19" t="s">
        <v>430</v>
      </c>
      <c r="BZ5" s="19" t="s">
        <v>553</v>
      </c>
      <c r="CA5" s="19" t="s">
        <v>467</v>
      </c>
      <c r="CB5" s="19" t="s">
        <v>467</v>
      </c>
      <c r="CC5" s="19" t="s">
        <v>554</v>
      </c>
      <c r="CF5" s="19" t="s">
        <v>555</v>
      </c>
      <c r="CG5" s="19" t="s">
        <v>515</v>
      </c>
      <c r="CH5" s="19" t="s">
        <v>467</v>
      </c>
      <c r="CI5" s="19" t="s">
        <v>515</v>
      </c>
      <c r="CJ5" s="19" t="s">
        <v>467</v>
      </c>
      <c r="CK5" s="19" t="s">
        <v>515</v>
      </c>
      <c r="CL5" s="19" t="s">
        <v>467</v>
      </c>
      <c r="CM5" s="19" t="s">
        <v>467</v>
      </c>
      <c r="CN5" s="19" t="s">
        <v>467</v>
      </c>
      <c r="CO5" s="19" t="s">
        <v>556</v>
      </c>
      <c r="CP5" s="19" t="s">
        <v>467</v>
      </c>
      <c r="CQ5" s="19" t="s">
        <v>557</v>
      </c>
      <c r="CR5" s="19" t="s">
        <v>486</v>
      </c>
      <c r="CS5" s="19" t="s">
        <v>515</v>
      </c>
      <c r="CT5" s="19" t="s">
        <v>522</v>
      </c>
      <c r="CU5" s="19" t="s">
        <v>512</v>
      </c>
      <c r="CV5" s="19" t="s">
        <v>467</v>
      </c>
      <c r="CW5" s="19" t="s">
        <v>485</v>
      </c>
      <c r="CX5" s="19" t="s">
        <v>534</v>
      </c>
      <c r="CY5" s="19" t="s">
        <v>512</v>
      </c>
      <c r="CZ5" s="19" t="s">
        <v>558</v>
      </c>
      <c r="DA5" s="19" t="s">
        <v>515</v>
      </c>
      <c r="DB5" s="19" t="s">
        <v>547</v>
      </c>
      <c r="DC5" s="19" t="s">
        <v>559</v>
      </c>
      <c r="DD5" s="19" t="s">
        <v>559</v>
      </c>
      <c r="DE5" s="19" t="s">
        <v>559</v>
      </c>
      <c r="DF5" s="19" t="s">
        <v>559</v>
      </c>
      <c r="DG5" s="19" t="s">
        <v>559</v>
      </c>
      <c r="DH5" s="19" t="s">
        <v>559</v>
      </c>
      <c r="DI5" s="19" t="s">
        <v>559</v>
      </c>
      <c r="DJ5" s="19" t="s">
        <v>559</v>
      </c>
      <c r="DK5" s="19" t="s">
        <v>559</v>
      </c>
      <c r="DL5" s="19" t="s">
        <v>559</v>
      </c>
      <c r="DM5" s="19" t="s">
        <v>559</v>
      </c>
      <c r="DN5" s="19" t="s">
        <v>559</v>
      </c>
      <c r="DO5" s="19" t="s">
        <v>559</v>
      </c>
      <c r="DP5" s="19" t="s">
        <v>559</v>
      </c>
      <c r="DQ5" s="19" t="s">
        <v>559</v>
      </c>
      <c r="DR5" s="19" t="s">
        <v>559</v>
      </c>
      <c r="DS5" s="19" t="s">
        <v>559</v>
      </c>
      <c r="DT5" s="19" t="s">
        <v>559</v>
      </c>
      <c r="DW5" s="19" t="s">
        <v>559</v>
      </c>
      <c r="DX5" s="19" t="s">
        <v>559</v>
      </c>
      <c r="DY5" s="19" t="s">
        <v>559</v>
      </c>
      <c r="DZ5" s="19" t="s">
        <v>559</v>
      </c>
      <c r="EA5" s="19" t="s">
        <v>559</v>
      </c>
      <c r="EB5" s="19" t="s">
        <v>559</v>
      </c>
      <c r="EC5" s="19" t="s">
        <v>559</v>
      </c>
      <c r="ED5" s="19" t="s">
        <v>559</v>
      </c>
      <c r="EE5" s="19" t="s">
        <v>559</v>
      </c>
      <c r="EF5" s="19" t="s">
        <v>559</v>
      </c>
      <c r="EG5" s="19" t="s">
        <v>559</v>
      </c>
      <c r="EH5" s="19" t="s">
        <v>559</v>
      </c>
      <c r="EI5" s="19" t="s">
        <v>559</v>
      </c>
      <c r="EJ5" s="19" t="s">
        <v>559</v>
      </c>
      <c r="EK5" s="19" t="s">
        <v>559</v>
      </c>
      <c r="EL5" s="19" t="s">
        <v>559</v>
      </c>
      <c r="EM5" s="19" t="s">
        <v>559</v>
      </c>
      <c r="EN5" s="19" t="s">
        <v>559</v>
      </c>
      <c r="EO5" s="19" t="s">
        <v>559</v>
      </c>
      <c r="EP5" s="19" t="s">
        <v>559</v>
      </c>
    </row>
    <row r="6" spans="1:146" x14ac:dyDescent="0.3">
      <c r="D6" s="19" t="s">
        <v>560</v>
      </c>
      <c r="E6" s="19" t="s">
        <v>287</v>
      </c>
      <c r="F6" s="19" t="s">
        <v>561</v>
      </c>
      <c r="G6" s="19" t="s">
        <v>547</v>
      </c>
      <c r="H6" s="19" t="s">
        <v>547</v>
      </c>
      <c r="I6" s="19" t="s">
        <v>562</v>
      </c>
      <c r="J6" s="19" t="s">
        <v>467</v>
      </c>
      <c r="K6" s="19" t="s">
        <v>563</v>
      </c>
      <c r="L6" s="19" t="s">
        <v>563</v>
      </c>
      <c r="M6" s="19" t="s">
        <v>564</v>
      </c>
      <c r="N6" s="19" t="s">
        <v>517</v>
      </c>
      <c r="O6" s="19" t="s">
        <v>541</v>
      </c>
      <c r="P6" s="19" t="s">
        <v>565</v>
      </c>
      <c r="Q6" s="19" t="s">
        <v>566</v>
      </c>
      <c r="R6" s="19" t="s">
        <v>471</v>
      </c>
      <c r="S6" s="19" t="s">
        <v>567</v>
      </c>
      <c r="T6" s="19" t="s">
        <v>567</v>
      </c>
      <c r="U6" s="19" t="s">
        <v>542</v>
      </c>
      <c r="V6" s="19" t="s">
        <v>547</v>
      </c>
      <c r="W6" s="19" t="s">
        <v>547</v>
      </c>
      <c r="X6" s="19" t="s">
        <v>568</v>
      </c>
      <c r="Y6" s="19" t="s">
        <v>547</v>
      </c>
      <c r="Z6" s="19" t="s">
        <v>542</v>
      </c>
      <c r="AA6" s="19" t="s">
        <v>563</v>
      </c>
      <c r="AB6" s="19" t="s">
        <v>569</v>
      </c>
      <c r="AC6" s="19" t="s">
        <v>570</v>
      </c>
      <c r="AD6" s="19" t="s">
        <v>571</v>
      </c>
      <c r="AE6" s="19" t="s">
        <v>571</v>
      </c>
      <c r="AF6" s="19" t="s">
        <v>572</v>
      </c>
      <c r="AG6" s="19" t="s">
        <v>522</v>
      </c>
      <c r="AH6" s="19" t="s">
        <v>573</v>
      </c>
      <c r="AI6" s="19" t="s">
        <v>574</v>
      </c>
      <c r="AJ6" s="19" t="s">
        <v>574</v>
      </c>
      <c r="AK6" s="19" t="s">
        <v>575</v>
      </c>
      <c r="AL6" s="19" t="s">
        <v>575</v>
      </c>
      <c r="AM6" s="19" t="s">
        <v>576</v>
      </c>
      <c r="AN6" s="19" t="s">
        <v>540</v>
      </c>
      <c r="AO6" s="19" t="s">
        <v>540</v>
      </c>
      <c r="AP6" s="19" t="s">
        <v>577</v>
      </c>
      <c r="AQ6" s="19" t="s">
        <v>578</v>
      </c>
      <c r="AR6" s="19" t="s">
        <v>515</v>
      </c>
      <c r="AS6" s="19" t="s">
        <v>488</v>
      </c>
      <c r="AT6" s="19" t="s">
        <v>579</v>
      </c>
      <c r="AU6" s="19" t="s">
        <v>579</v>
      </c>
      <c r="AV6" s="19" t="s">
        <v>580</v>
      </c>
      <c r="AW6" s="19" t="s">
        <v>581</v>
      </c>
      <c r="AX6" s="19" t="s">
        <v>515</v>
      </c>
      <c r="AY6" s="19" t="s">
        <v>547</v>
      </c>
      <c r="AZ6" s="19" t="s">
        <v>547</v>
      </c>
      <c r="BA6" s="19" t="s">
        <v>573</v>
      </c>
      <c r="BB6" s="19" t="s">
        <v>488</v>
      </c>
      <c r="BC6" s="19" t="s">
        <v>547</v>
      </c>
      <c r="BD6" s="19" t="s">
        <v>547</v>
      </c>
      <c r="BE6" s="19" t="s">
        <v>582</v>
      </c>
      <c r="BF6" s="19" t="s">
        <v>540</v>
      </c>
      <c r="BG6" s="19" t="s">
        <v>582</v>
      </c>
      <c r="BH6" s="19" t="s">
        <v>583</v>
      </c>
      <c r="BI6" s="19" t="s">
        <v>555</v>
      </c>
      <c r="BJ6" s="19" t="s">
        <v>555</v>
      </c>
      <c r="BK6" s="19" t="s">
        <v>583</v>
      </c>
      <c r="BL6" s="19" t="s">
        <v>583</v>
      </c>
      <c r="BM6" s="19" t="s">
        <v>584</v>
      </c>
      <c r="BN6" s="19" t="s">
        <v>542</v>
      </c>
      <c r="BO6" s="19" t="s">
        <v>582</v>
      </c>
      <c r="BP6" s="19" t="s">
        <v>585</v>
      </c>
      <c r="BQ6" s="19" t="s">
        <v>581</v>
      </c>
      <c r="BR6" s="19" t="s">
        <v>547</v>
      </c>
      <c r="BS6" s="19" t="s">
        <v>582</v>
      </c>
      <c r="BT6" s="19" t="s">
        <v>485</v>
      </c>
      <c r="BU6" s="19" t="s">
        <v>581</v>
      </c>
      <c r="BV6" s="19" t="s">
        <v>547</v>
      </c>
      <c r="BW6" s="19" t="s">
        <v>444</v>
      </c>
      <c r="BX6" s="19" t="s">
        <v>586</v>
      </c>
      <c r="BY6" s="19" t="s">
        <v>586</v>
      </c>
      <c r="CA6" s="19" t="s">
        <v>586</v>
      </c>
      <c r="CB6" s="19" t="s">
        <v>515</v>
      </c>
      <c r="CC6" s="19" t="s">
        <v>548</v>
      </c>
      <c r="CG6" s="19" t="s">
        <v>567</v>
      </c>
      <c r="CH6" s="19" t="s">
        <v>556</v>
      </c>
      <c r="CI6" s="19" t="s">
        <v>567</v>
      </c>
      <c r="CJ6" s="19" t="s">
        <v>504</v>
      </c>
      <c r="CK6" s="19" t="s">
        <v>567</v>
      </c>
      <c r="CL6" s="19" t="s">
        <v>556</v>
      </c>
      <c r="CM6" s="19" t="s">
        <v>587</v>
      </c>
      <c r="CN6" s="19" t="s">
        <v>587</v>
      </c>
      <c r="CO6" s="19" t="s">
        <v>577</v>
      </c>
      <c r="CP6" s="19" t="s">
        <v>547</v>
      </c>
      <c r="CQ6" s="19" t="s">
        <v>547</v>
      </c>
      <c r="CR6" s="19" t="s">
        <v>521</v>
      </c>
      <c r="CS6" s="19" t="s">
        <v>521</v>
      </c>
      <c r="CT6" s="19" t="s">
        <v>556</v>
      </c>
      <c r="CU6" s="19" t="s">
        <v>588</v>
      </c>
      <c r="CV6" s="19" t="s">
        <v>586</v>
      </c>
      <c r="CW6" s="19" t="s">
        <v>589</v>
      </c>
      <c r="CX6" s="19" t="s">
        <v>590</v>
      </c>
      <c r="CY6" s="19" t="s">
        <v>572</v>
      </c>
      <c r="CZ6" s="19" t="s">
        <v>547</v>
      </c>
      <c r="DA6" s="19" t="s">
        <v>488</v>
      </c>
      <c r="DB6" s="19" t="s">
        <v>522</v>
      </c>
    </row>
    <row r="7" spans="1:146" x14ac:dyDescent="0.3">
      <c r="D7" s="19" t="s">
        <v>591</v>
      </c>
      <c r="E7" s="19" t="s">
        <v>288</v>
      </c>
      <c r="F7" s="19" t="s">
        <v>592</v>
      </c>
      <c r="G7" s="19" t="s">
        <v>593</v>
      </c>
      <c r="H7" s="19" t="s">
        <v>593</v>
      </c>
      <c r="I7" s="19" t="s">
        <v>594</v>
      </c>
      <c r="J7" s="19" t="s">
        <v>595</v>
      </c>
      <c r="K7" s="19" t="s">
        <v>595</v>
      </c>
      <c r="L7" s="19" t="s">
        <v>595</v>
      </c>
      <c r="M7" s="19" t="s">
        <v>596</v>
      </c>
      <c r="N7" s="19" t="s">
        <v>522</v>
      </c>
      <c r="O7" s="19" t="s">
        <v>488</v>
      </c>
      <c r="P7" s="19" t="s">
        <v>597</v>
      </c>
      <c r="Q7" s="19" t="s">
        <v>598</v>
      </c>
      <c r="R7" s="19" t="s">
        <v>507</v>
      </c>
      <c r="S7" s="19" t="s">
        <v>582</v>
      </c>
      <c r="T7" s="19" t="s">
        <v>582</v>
      </c>
      <c r="U7" s="19" t="s">
        <v>577</v>
      </c>
      <c r="V7" s="19" t="s">
        <v>522</v>
      </c>
      <c r="W7" s="19" t="s">
        <v>522</v>
      </c>
      <c r="X7" s="19" t="s">
        <v>582</v>
      </c>
      <c r="Y7" s="19" t="s">
        <v>567</v>
      </c>
      <c r="Z7" s="19" t="s">
        <v>577</v>
      </c>
      <c r="AA7" s="19" t="s">
        <v>595</v>
      </c>
      <c r="AB7" s="19" t="s">
        <v>599</v>
      </c>
      <c r="AC7" s="19" t="s">
        <v>600</v>
      </c>
      <c r="AD7" s="19" t="s">
        <v>601</v>
      </c>
      <c r="AE7" s="19" t="s">
        <v>601</v>
      </c>
      <c r="AF7" s="19" t="s">
        <v>602</v>
      </c>
      <c r="AG7" s="19" t="s">
        <v>603</v>
      </c>
      <c r="AH7" s="19" t="s">
        <v>577</v>
      </c>
      <c r="AI7" s="19" t="s">
        <v>520</v>
      </c>
      <c r="AJ7" s="19" t="s">
        <v>520</v>
      </c>
      <c r="AK7" s="19" t="s">
        <v>520</v>
      </c>
      <c r="AL7" s="19" t="s">
        <v>520</v>
      </c>
      <c r="AM7" s="19" t="s">
        <v>555</v>
      </c>
      <c r="AN7" s="19" t="s">
        <v>576</v>
      </c>
      <c r="AO7" s="19" t="s">
        <v>576</v>
      </c>
      <c r="AP7" s="19" t="s">
        <v>603</v>
      </c>
      <c r="AQ7" s="19" t="s">
        <v>595</v>
      </c>
      <c r="AR7" s="19" t="s">
        <v>604</v>
      </c>
      <c r="AS7" s="19" t="s">
        <v>555</v>
      </c>
      <c r="AT7" s="19" t="s">
        <v>488</v>
      </c>
      <c r="AU7" s="19" t="s">
        <v>488</v>
      </c>
      <c r="AV7" s="19" t="s">
        <v>552</v>
      </c>
      <c r="AW7" s="19" t="s">
        <v>486</v>
      </c>
      <c r="AX7" s="19" t="s">
        <v>567</v>
      </c>
      <c r="AY7" s="19" t="s">
        <v>486</v>
      </c>
      <c r="AZ7" s="19" t="s">
        <v>486</v>
      </c>
      <c r="BA7" s="19" t="s">
        <v>577</v>
      </c>
      <c r="BB7" s="19" t="s">
        <v>580</v>
      </c>
      <c r="BC7" s="19" t="s">
        <v>552</v>
      </c>
      <c r="BD7" s="19" t="s">
        <v>552</v>
      </c>
      <c r="BE7" s="19" t="s">
        <v>605</v>
      </c>
      <c r="BF7" s="19" t="s">
        <v>555</v>
      </c>
      <c r="BG7" s="19" t="s">
        <v>605</v>
      </c>
      <c r="BH7" s="19" t="s">
        <v>555</v>
      </c>
      <c r="BI7" s="19" t="s">
        <v>606</v>
      </c>
      <c r="BJ7" s="19" t="s">
        <v>606</v>
      </c>
      <c r="BK7" s="19" t="s">
        <v>555</v>
      </c>
      <c r="BL7" s="19" t="s">
        <v>555</v>
      </c>
      <c r="BM7" s="19" t="s">
        <v>572</v>
      </c>
      <c r="BN7" s="19" t="s">
        <v>548</v>
      </c>
      <c r="BO7" s="19" t="s">
        <v>605</v>
      </c>
      <c r="BP7" s="19" t="s">
        <v>553</v>
      </c>
      <c r="BQ7" s="19" t="s">
        <v>486</v>
      </c>
      <c r="BR7" s="19" t="s">
        <v>522</v>
      </c>
      <c r="BS7" s="19" t="s">
        <v>605</v>
      </c>
      <c r="BT7" s="19" t="s">
        <v>555</v>
      </c>
      <c r="BU7" s="19" t="s">
        <v>486</v>
      </c>
      <c r="BV7" s="19" t="s">
        <v>522</v>
      </c>
      <c r="BW7" s="19" t="s">
        <v>607</v>
      </c>
      <c r="BX7" s="19" t="s">
        <v>504</v>
      </c>
      <c r="BY7" s="19" t="s">
        <v>504</v>
      </c>
      <c r="CA7" s="19" t="s">
        <v>534</v>
      </c>
      <c r="CB7" s="19" t="s">
        <v>488</v>
      </c>
      <c r="CC7" s="19" t="s">
        <v>583</v>
      </c>
      <c r="CG7" s="19" t="s">
        <v>608</v>
      </c>
      <c r="CH7" s="19" t="s">
        <v>577</v>
      </c>
      <c r="CI7" s="19" t="s">
        <v>608</v>
      </c>
      <c r="CJ7" s="19" t="s">
        <v>534</v>
      </c>
      <c r="CK7" s="19" t="s">
        <v>608</v>
      </c>
      <c r="CL7" s="19" t="s">
        <v>577</v>
      </c>
      <c r="CM7" s="19" t="s">
        <v>488</v>
      </c>
      <c r="CN7" s="19" t="s">
        <v>488</v>
      </c>
      <c r="CO7" s="19" t="s">
        <v>555</v>
      </c>
      <c r="CP7" s="19" t="s">
        <v>584</v>
      </c>
      <c r="CQ7" s="19" t="s">
        <v>522</v>
      </c>
      <c r="CR7" s="19" t="s">
        <v>605</v>
      </c>
      <c r="CS7" s="19" t="s">
        <v>608</v>
      </c>
      <c r="CT7" s="19" t="s">
        <v>577</v>
      </c>
      <c r="CU7" s="19" t="s">
        <v>568</v>
      </c>
      <c r="CV7" s="19" t="s">
        <v>534</v>
      </c>
      <c r="CW7" s="19" t="s">
        <v>609</v>
      </c>
      <c r="CX7" s="19" t="s">
        <v>610</v>
      </c>
      <c r="CY7" s="19" t="s">
        <v>553</v>
      </c>
      <c r="CZ7" s="19" t="s">
        <v>608</v>
      </c>
      <c r="DA7" s="19" t="s">
        <v>599</v>
      </c>
      <c r="DB7" s="19" t="s">
        <v>608</v>
      </c>
    </row>
    <row r="8" spans="1:146" x14ac:dyDescent="0.3">
      <c r="D8" s="19" t="s">
        <v>611</v>
      </c>
      <c r="E8" s="19" t="s">
        <v>289</v>
      </c>
    </row>
    <row r="9" spans="1:146" x14ac:dyDescent="0.3">
      <c r="D9" s="19" t="s">
        <v>612</v>
      </c>
      <c r="E9" s="19" t="s">
        <v>290</v>
      </c>
    </row>
    <row r="10" spans="1:146" x14ac:dyDescent="0.3">
      <c r="D10" s="19" t="s">
        <v>613</v>
      </c>
      <c r="E10" s="19" t="s">
        <v>291</v>
      </c>
    </row>
    <row r="11" spans="1:146" x14ac:dyDescent="0.3">
      <c r="D11" s="19" t="s">
        <v>614</v>
      </c>
      <c r="E11" s="19" t="s">
        <v>292</v>
      </c>
    </row>
    <row r="12" spans="1:146" x14ac:dyDescent="0.3">
      <c r="D12" s="19" t="s">
        <v>615</v>
      </c>
      <c r="E12" s="19" t="s">
        <v>293</v>
      </c>
    </row>
    <row r="13" spans="1:146" x14ac:dyDescent="0.3">
      <c r="D13" s="19" t="s">
        <v>616</v>
      </c>
      <c r="E13" s="19" t="s">
        <v>294</v>
      </c>
    </row>
    <row r="14" spans="1:146" x14ac:dyDescent="0.3">
      <c r="D14" s="19" t="s">
        <v>617</v>
      </c>
      <c r="E14" s="19" t="s">
        <v>295</v>
      </c>
    </row>
    <row r="15" spans="1:146" x14ac:dyDescent="0.3">
      <c r="D15" s="19" t="s">
        <v>618</v>
      </c>
      <c r="E15" s="19" t="s">
        <v>296</v>
      </c>
    </row>
    <row r="16" spans="1:146" x14ac:dyDescent="0.3">
      <c r="D16" s="19" t="s">
        <v>619</v>
      </c>
      <c r="E16" s="19" t="s">
        <v>297</v>
      </c>
    </row>
    <row r="17" spans="4:5" x14ac:dyDescent="0.3">
      <c r="D17" s="19" t="s">
        <v>620</v>
      </c>
      <c r="E17" s="19" t="s">
        <v>298</v>
      </c>
    </row>
    <row r="18" spans="4:5" x14ac:dyDescent="0.3">
      <c r="D18" s="19" t="s">
        <v>621</v>
      </c>
      <c r="E18" s="19" t="s">
        <v>299</v>
      </c>
    </row>
    <row r="19" spans="4:5" x14ac:dyDescent="0.3">
      <c r="D19" s="19" t="s">
        <v>622</v>
      </c>
      <c r="E19" s="19" t="s">
        <v>300</v>
      </c>
    </row>
    <row r="20" spans="4:5" x14ac:dyDescent="0.3">
      <c r="D20" s="19" t="s">
        <v>623</v>
      </c>
      <c r="E20" s="19" t="s">
        <v>301</v>
      </c>
    </row>
    <row r="21" spans="4:5" x14ac:dyDescent="0.3">
      <c r="D21" s="19" t="s">
        <v>624</v>
      </c>
      <c r="E21" s="19" t="s">
        <v>302</v>
      </c>
    </row>
    <row r="22" spans="4:5" x14ac:dyDescent="0.3">
      <c r="D22" s="19" t="s">
        <v>625</v>
      </c>
      <c r="E22" s="19" t="s">
        <v>303</v>
      </c>
    </row>
    <row r="23" spans="4:5" x14ac:dyDescent="0.3">
      <c r="D23" s="19" t="s">
        <v>626</v>
      </c>
      <c r="E23" s="19" t="s">
        <v>304</v>
      </c>
    </row>
    <row r="24" spans="4:5" x14ac:dyDescent="0.3">
      <c r="D24" s="19" t="s">
        <v>627</v>
      </c>
      <c r="E24" s="19" t="s">
        <v>305</v>
      </c>
    </row>
    <row r="25" spans="4:5" x14ac:dyDescent="0.3">
      <c r="D25" s="19" t="s">
        <v>628</v>
      </c>
      <c r="E25" s="19" t="s">
        <v>306</v>
      </c>
    </row>
    <row r="26" spans="4:5" x14ac:dyDescent="0.3">
      <c r="D26" s="19" t="s">
        <v>629</v>
      </c>
      <c r="E26" s="19" t="s">
        <v>307</v>
      </c>
    </row>
    <row r="27" spans="4:5" x14ac:dyDescent="0.3">
      <c r="D27" s="19" t="s">
        <v>630</v>
      </c>
      <c r="E27" s="19" t="s">
        <v>308</v>
      </c>
    </row>
    <row r="28" spans="4:5" x14ac:dyDescent="0.3">
      <c r="D28" s="19" t="s">
        <v>631</v>
      </c>
      <c r="E28" s="19" t="s">
        <v>309</v>
      </c>
    </row>
    <row r="29" spans="4:5" x14ac:dyDescent="0.3">
      <c r="D29" s="19" t="s">
        <v>632</v>
      </c>
      <c r="E29" s="19" t="s">
        <v>310</v>
      </c>
    </row>
    <row r="30" spans="4:5" x14ac:dyDescent="0.3">
      <c r="D30" s="19" t="s">
        <v>633</v>
      </c>
      <c r="E30" s="19" t="s">
        <v>311</v>
      </c>
    </row>
    <row r="31" spans="4:5" x14ac:dyDescent="0.3">
      <c r="D31" s="19" t="s">
        <v>634</v>
      </c>
      <c r="E31" s="19" t="s">
        <v>312</v>
      </c>
    </row>
    <row r="32" spans="4:5" x14ac:dyDescent="0.3">
      <c r="D32" s="19" t="s">
        <v>635</v>
      </c>
      <c r="E32" s="19" t="s">
        <v>313</v>
      </c>
    </row>
    <row r="33" spans="4:5" x14ac:dyDescent="0.3">
      <c r="D33" s="19" t="s">
        <v>636</v>
      </c>
      <c r="E33" s="19" t="s">
        <v>314</v>
      </c>
    </row>
    <row r="34" spans="4:5" x14ac:dyDescent="0.3">
      <c r="D34" s="19" t="s">
        <v>637</v>
      </c>
      <c r="E34" s="19" t="s">
        <v>315</v>
      </c>
    </row>
    <row r="35" spans="4:5" x14ac:dyDescent="0.3">
      <c r="D35" s="19" t="s">
        <v>638</v>
      </c>
      <c r="E35" s="19" t="s">
        <v>316</v>
      </c>
    </row>
    <row r="36" spans="4:5" x14ac:dyDescent="0.3">
      <c r="D36" s="19" t="s">
        <v>639</v>
      </c>
      <c r="E36" s="19" t="s">
        <v>317</v>
      </c>
    </row>
    <row r="37" spans="4:5" x14ac:dyDescent="0.3">
      <c r="D37" s="19" t="s">
        <v>640</v>
      </c>
      <c r="E37" s="19" t="s">
        <v>318</v>
      </c>
    </row>
    <row r="38" spans="4:5" x14ac:dyDescent="0.3">
      <c r="D38" s="19" t="s">
        <v>641</v>
      </c>
      <c r="E38" s="19" t="s">
        <v>319</v>
      </c>
    </row>
    <row r="39" spans="4:5" x14ac:dyDescent="0.3">
      <c r="D39" s="19" t="s">
        <v>642</v>
      </c>
      <c r="E39" s="19" t="s">
        <v>320</v>
      </c>
    </row>
    <row r="40" spans="4:5" x14ac:dyDescent="0.3">
      <c r="D40" s="19" t="s">
        <v>643</v>
      </c>
      <c r="E40" s="19" t="s">
        <v>321</v>
      </c>
    </row>
    <row r="41" spans="4:5" x14ac:dyDescent="0.3">
      <c r="D41" s="19" t="s">
        <v>644</v>
      </c>
      <c r="E41" s="19" t="s">
        <v>322</v>
      </c>
    </row>
    <row r="42" spans="4:5" x14ac:dyDescent="0.3">
      <c r="D42" s="19" t="s">
        <v>645</v>
      </c>
      <c r="E42" s="19" t="s">
        <v>323</v>
      </c>
    </row>
    <row r="43" spans="4:5" x14ac:dyDescent="0.3">
      <c r="D43" s="19" t="s">
        <v>646</v>
      </c>
      <c r="E43" s="19" t="s">
        <v>324</v>
      </c>
    </row>
    <row r="44" spans="4:5" x14ac:dyDescent="0.3">
      <c r="D44" s="19" t="s">
        <v>647</v>
      </c>
      <c r="E44" s="19" t="s">
        <v>325</v>
      </c>
    </row>
    <row r="45" spans="4:5" x14ac:dyDescent="0.3">
      <c r="D45" s="19" t="s">
        <v>648</v>
      </c>
      <c r="E45" s="19" t="s">
        <v>326</v>
      </c>
    </row>
    <row r="46" spans="4:5" x14ac:dyDescent="0.3">
      <c r="D46" s="19" t="s">
        <v>649</v>
      </c>
      <c r="E46" s="19" t="s">
        <v>327</v>
      </c>
    </row>
    <row r="47" spans="4:5" x14ac:dyDescent="0.3">
      <c r="D47" s="19" t="s">
        <v>650</v>
      </c>
      <c r="E47" s="19" t="s">
        <v>328</v>
      </c>
    </row>
    <row r="48" spans="4:5" x14ac:dyDescent="0.3">
      <c r="D48" s="19" t="s">
        <v>651</v>
      </c>
      <c r="E48" s="19" t="s">
        <v>329</v>
      </c>
    </row>
    <row r="49" spans="4:5" x14ac:dyDescent="0.3">
      <c r="D49" s="19" t="s">
        <v>652</v>
      </c>
      <c r="E49" s="19" t="s">
        <v>330</v>
      </c>
    </row>
    <row r="50" spans="4:5" x14ac:dyDescent="0.3">
      <c r="D50" s="19" t="s">
        <v>653</v>
      </c>
      <c r="E50" s="19" t="s">
        <v>331</v>
      </c>
    </row>
    <row r="51" spans="4:5" x14ac:dyDescent="0.3">
      <c r="D51" s="19" t="s">
        <v>654</v>
      </c>
      <c r="E51" s="19" t="s">
        <v>332</v>
      </c>
    </row>
    <row r="52" spans="4:5" x14ac:dyDescent="0.3">
      <c r="D52" s="19" t="s">
        <v>655</v>
      </c>
      <c r="E52" s="19" t="s">
        <v>333</v>
      </c>
    </row>
    <row r="53" spans="4:5" x14ac:dyDescent="0.3">
      <c r="D53" s="19" t="s">
        <v>656</v>
      </c>
      <c r="E53" s="19" t="s">
        <v>334</v>
      </c>
    </row>
    <row r="54" spans="4:5" x14ac:dyDescent="0.3">
      <c r="D54" s="19" t="s">
        <v>657</v>
      </c>
      <c r="E54" s="19" t="s">
        <v>335</v>
      </c>
    </row>
    <row r="55" spans="4:5" x14ac:dyDescent="0.3">
      <c r="D55" s="19" t="s">
        <v>658</v>
      </c>
      <c r="E55" s="19" t="s">
        <v>336</v>
      </c>
    </row>
    <row r="56" spans="4:5" x14ac:dyDescent="0.3">
      <c r="D56" s="19" t="s">
        <v>659</v>
      </c>
      <c r="E56" s="19" t="s">
        <v>337</v>
      </c>
    </row>
    <row r="57" spans="4:5" x14ac:dyDescent="0.3">
      <c r="D57" s="19" t="s">
        <v>660</v>
      </c>
      <c r="E57" s="19" t="s">
        <v>338</v>
      </c>
    </row>
    <row r="58" spans="4:5" x14ac:dyDescent="0.3">
      <c r="D58" s="19" t="s">
        <v>661</v>
      </c>
      <c r="E58" s="19" t="s">
        <v>339</v>
      </c>
    </row>
    <row r="59" spans="4:5" x14ac:dyDescent="0.3">
      <c r="D59" s="19" t="s">
        <v>662</v>
      </c>
      <c r="E59" s="19" t="s">
        <v>340</v>
      </c>
    </row>
    <row r="60" spans="4:5" x14ac:dyDescent="0.3">
      <c r="D60" s="19" t="s">
        <v>663</v>
      </c>
      <c r="E60" s="19" t="s">
        <v>341</v>
      </c>
    </row>
    <row r="61" spans="4:5" x14ac:dyDescent="0.3">
      <c r="D61" s="19" t="s">
        <v>664</v>
      </c>
      <c r="E61" s="19" t="s">
        <v>342</v>
      </c>
    </row>
    <row r="62" spans="4:5" x14ac:dyDescent="0.3">
      <c r="D62" s="19" t="s">
        <v>665</v>
      </c>
      <c r="E62" s="19" t="s">
        <v>343</v>
      </c>
    </row>
    <row r="63" spans="4:5" x14ac:dyDescent="0.3">
      <c r="D63" s="19" t="s">
        <v>666</v>
      </c>
      <c r="E63" s="19" t="s">
        <v>344</v>
      </c>
    </row>
    <row r="64" spans="4:5" x14ac:dyDescent="0.3">
      <c r="D64" s="19" t="s">
        <v>667</v>
      </c>
      <c r="E64" s="19" t="s">
        <v>345</v>
      </c>
    </row>
    <row r="65" spans="4:5" x14ac:dyDescent="0.3">
      <c r="D65" s="19" t="s">
        <v>668</v>
      </c>
      <c r="E65" s="19" t="s">
        <v>346</v>
      </c>
    </row>
    <row r="66" spans="4:5" x14ac:dyDescent="0.3">
      <c r="D66" s="19" t="s">
        <v>669</v>
      </c>
      <c r="E66" s="19" t="s">
        <v>347</v>
      </c>
    </row>
    <row r="67" spans="4:5" x14ac:dyDescent="0.3">
      <c r="D67" s="19" t="s">
        <v>670</v>
      </c>
      <c r="E67" s="19" t="s">
        <v>348</v>
      </c>
    </row>
    <row r="68" spans="4:5" x14ac:dyDescent="0.3">
      <c r="D68" s="19" t="s">
        <v>671</v>
      </c>
      <c r="E68" s="19" t="s">
        <v>349</v>
      </c>
    </row>
    <row r="69" spans="4:5" x14ac:dyDescent="0.3">
      <c r="D69" s="19" t="s">
        <v>672</v>
      </c>
      <c r="E69" s="19" t="s">
        <v>350</v>
      </c>
    </row>
    <row r="70" spans="4:5" x14ac:dyDescent="0.3">
      <c r="D70" s="19" t="s">
        <v>673</v>
      </c>
      <c r="E70" s="19" t="s">
        <v>351</v>
      </c>
    </row>
    <row r="71" spans="4:5" x14ac:dyDescent="0.3">
      <c r="D71" s="19" t="s">
        <v>674</v>
      </c>
      <c r="E71" s="19" t="s">
        <v>352</v>
      </c>
    </row>
    <row r="72" spans="4:5" x14ac:dyDescent="0.3">
      <c r="D72" s="19" t="s">
        <v>675</v>
      </c>
      <c r="E72" s="19" t="s">
        <v>353</v>
      </c>
    </row>
    <row r="73" spans="4:5" x14ac:dyDescent="0.3">
      <c r="D73" s="19" t="s">
        <v>676</v>
      </c>
      <c r="E73" s="19" t="s">
        <v>354</v>
      </c>
    </row>
    <row r="74" spans="4:5" x14ac:dyDescent="0.3">
      <c r="D74" s="19" t="s">
        <v>677</v>
      </c>
      <c r="E74" s="19" t="s">
        <v>355</v>
      </c>
    </row>
    <row r="75" spans="4:5" x14ac:dyDescent="0.3">
      <c r="D75" s="19" t="s">
        <v>678</v>
      </c>
      <c r="E75" s="19" t="s">
        <v>356</v>
      </c>
    </row>
    <row r="76" spans="4:5" x14ac:dyDescent="0.3">
      <c r="D76" s="19" t="s">
        <v>679</v>
      </c>
      <c r="E76" s="19" t="s">
        <v>357</v>
      </c>
    </row>
    <row r="77" spans="4:5" x14ac:dyDescent="0.3">
      <c r="D77" s="19" t="s">
        <v>680</v>
      </c>
      <c r="E77" s="19" t="s">
        <v>358</v>
      </c>
    </row>
    <row r="78" spans="4:5" x14ac:dyDescent="0.3">
      <c r="D78" s="19" t="s">
        <v>681</v>
      </c>
      <c r="E78" s="19" t="s">
        <v>359</v>
      </c>
    </row>
    <row r="79" spans="4:5" x14ac:dyDescent="0.3">
      <c r="D79" s="19" t="s">
        <v>682</v>
      </c>
      <c r="E79" s="19" t="s">
        <v>360</v>
      </c>
    </row>
    <row r="80" spans="4:5" x14ac:dyDescent="0.3">
      <c r="D80" s="19" t="s">
        <v>683</v>
      </c>
      <c r="E80" s="19" t="s">
        <v>361</v>
      </c>
    </row>
    <row r="81" spans="4:5" x14ac:dyDescent="0.3">
      <c r="D81" s="19" t="s">
        <v>684</v>
      </c>
      <c r="E81" s="19" t="s">
        <v>362</v>
      </c>
    </row>
    <row r="82" spans="4:5" x14ac:dyDescent="0.3">
      <c r="D82" s="19" t="s">
        <v>685</v>
      </c>
      <c r="E82" s="19" t="s">
        <v>363</v>
      </c>
    </row>
    <row r="83" spans="4:5" x14ac:dyDescent="0.3">
      <c r="D83" s="19" t="s">
        <v>686</v>
      </c>
      <c r="E83" s="19" t="s">
        <v>364</v>
      </c>
    </row>
    <row r="84" spans="4:5" x14ac:dyDescent="0.3">
      <c r="D84" s="19" t="s">
        <v>687</v>
      </c>
      <c r="E84" s="19" t="s">
        <v>365</v>
      </c>
    </row>
    <row r="85" spans="4:5" x14ac:dyDescent="0.3">
      <c r="D85" s="19" t="s">
        <v>688</v>
      </c>
      <c r="E85" s="19" t="s">
        <v>366</v>
      </c>
    </row>
    <row r="86" spans="4:5" x14ac:dyDescent="0.3">
      <c r="D86" s="19" t="s">
        <v>689</v>
      </c>
      <c r="E86" s="19" t="s">
        <v>367</v>
      </c>
    </row>
    <row r="87" spans="4:5" x14ac:dyDescent="0.3">
      <c r="D87" s="19" t="s">
        <v>690</v>
      </c>
      <c r="E87" s="19" t="s">
        <v>368</v>
      </c>
    </row>
    <row r="88" spans="4:5" x14ac:dyDescent="0.3">
      <c r="D88" s="19" t="s">
        <v>691</v>
      </c>
      <c r="E88" s="19" t="s">
        <v>369</v>
      </c>
    </row>
    <row r="89" spans="4:5" x14ac:dyDescent="0.3">
      <c r="D89" s="19" t="s">
        <v>692</v>
      </c>
      <c r="E89" s="19" t="s">
        <v>370</v>
      </c>
    </row>
    <row r="90" spans="4:5" x14ac:dyDescent="0.3">
      <c r="D90" s="19" t="s">
        <v>693</v>
      </c>
      <c r="E90" s="19" t="s">
        <v>371</v>
      </c>
    </row>
    <row r="91" spans="4:5" x14ac:dyDescent="0.3">
      <c r="D91" s="19" t="s">
        <v>694</v>
      </c>
      <c r="E91" s="19" t="s">
        <v>372</v>
      </c>
    </row>
    <row r="92" spans="4:5" x14ac:dyDescent="0.3">
      <c r="D92" s="19" t="s">
        <v>695</v>
      </c>
      <c r="E92" s="19" t="s">
        <v>373</v>
      </c>
    </row>
    <row r="93" spans="4:5" x14ac:dyDescent="0.3">
      <c r="D93" s="19" t="s">
        <v>696</v>
      </c>
      <c r="E93" s="19" t="s">
        <v>374</v>
      </c>
    </row>
    <row r="94" spans="4:5" x14ac:dyDescent="0.3">
      <c r="D94" s="19" t="s">
        <v>697</v>
      </c>
      <c r="E94" s="19" t="s">
        <v>375</v>
      </c>
    </row>
    <row r="95" spans="4:5" x14ac:dyDescent="0.3">
      <c r="D95" s="19" t="s">
        <v>698</v>
      </c>
      <c r="E95" s="19" t="s">
        <v>376</v>
      </c>
    </row>
    <row r="96" spans="4:5" x14ac:dyDescent="0.3">
      <c r="D96" s="19" t="s">
        <v>699</v>
      </c>
      <c r="E96" s="19" t="s">
        <v>377</v>
      </c>
    </row>
    <row r="97" spans="4:5" x14ac:dyDescent="0.3">
      <c r="D97" s="19" t="s">
        <v>700</v>
      </c>
      <c r="E97" s="19" t="s">
        <v>378</v>
      </c>
    </row>
    <row r="98" spans="4:5" x14ac:dyDescent="0.3">
      <c r="D98" s="19" t="s">
        <v>701</v>
      </c>
      <c r="E98" s="19" t="s">
        <v>379</v>
      </c>
    </row>
    <row r="99" spans="4:5" x14ac:dyDescent="0.3">
      <c r="D99" s="19" t="s">
        <v>702</v>
      </c>
      <c r="E99" s="19" t="s">
        <v>380</v>
      </c>
    </row>
    <row r="100" spans="4:5" x14ac:dyDescent="0.3">
      <c r="D100" s="19" t="s">
        <v>703</v>
      </c>
      <c r="E100" s="19" t="s">
        <v>381</v>
      </c>
    </row>
    <row r="101" spans="4:5" x14ac:dyDescent="0.3">
      <c r="D101" s="19" t="s">
        <v>704</v>
      </c>
      <c r="E101" s="19" t="s">
        <v>382</v>
      </c>
    </row>
    <row r="102" spans="4:5" x14ac:dyDescent="0.3">
      <c r="D102" s="19" t="s">
        <v>705</v>
      </c>
      <c r="E102" s="19" t="s">
        <v>383</v>
      </c>
    </row>
    <row r="103" spans="4:5" x14ac:dyDescent="0.3">
      <c r="D103" s="19" t="s">
        <v>706</v>
      </c>
      <c r="E103" s="19" t="s">
        <v>384</v>
      </c>
    </row>
    <row r="104" spans="4:5" x14ac:dyDescent="0.3">
      <c r="D104" s="19" t="s">
        <v>707</v>
      </c>
      <c r="E104" s="19" t="s">
        <v>385</v>
      </c>
    </row>
    <row r="105" spans="4:5" x14ac:dyDescent="0.3">
      <c r="D105" s="19" t="s">
        <v>708</v>
      </c>
      <c r="E105" s="19" t="s">
        <v>386</v>
      </c>
    </row>
    <row r="106" spans="4:5" x14ac:dyDescent="0.3">
      <c r="D106" s="19" t="s">
        <v>709</v>
      </c>
      <c r="E106" s="19" t="s">
        <v>387</v>
      </c>
    </row>
    <row r="107" spans="4:5" x14ac:dyDescent="0.3">
      <c r="D107" s="19" t="s">
        <v>710</v>
      </c>
      <c r="E107" s="19" t="s">
        <v>388</v>
      </c>
    </row>
    <row r="108" spans="4:5" x14ac:dyDescent="0.3">
      <c r="D108" s="19" t="s">
        <v>711</v>
      </c>
      <c r="E108" s="19" t="s">
        <v>389</v>
      </c>
    </row>
    <row r="109" spans="4:5" x14ac:dyDescent="0.3">
      <c r="D109" s="19" t="s">
        <v>712</v>
      </c>
      <c r="E109" s="19" t="s">
        <v>390</v>
      </c>
    </row>
    <row r="110" spans="4:5" x14ac:dyDescent="0.3">
      <c r="D110" s="19" t="s">
        <v>713</v>
      </c>
      <c r="E110" s="19" t="s">
        <v>391</v>
      </c>
    </row>
    <row r="111" spans="4:5" x14ac:dyDescent="0.3">
      <c r="D111" s="19" t="s">
        <v>714</v>
      </c>
      <c r="E111" s="19" t="s">
        <v>392</v>
      </c>
    </row>
    <row r="112" spans="4:5" x14ac:dyDescent="0.3">
      <c r="D112" s="19" t="s">
        <v>715</v>
      </c>
      <c r="E112" s="19" t="s">
        <v>393</v>
      </c>
    </row>
    <row r="113" spans="4:5" x14ac:dyDescent="0.3">
      <c r="D113" s="19" t="s">
        <v>716</v>
      </c>
      <c r="E113" s="19" t="s">
        <v>394</v>
      </c>
    </row>
    <row r="114" spans="4:5" x14ac:dyDescent="0.3">
      <c r="D114" s="19" t="s">
        <v>717</v>
      </c>
      <c r="E114" s="19" t="s">
        <v>395</v>
      </c>
    </row>
    <row r="115" spans="4:5" x14ac:dyDescent="0.3">
      <c r="D115" s="19" t="s">
        <v>718</v>
      </c>
      <c r="E115" s="19" t="s">
        <v>396</v>
      </c>
    </row>
    <row r="116" spans="4:5" x14ac:dyDescent="0.3">
      <c r="D116" s="19" t="s">
        <v>719</v>
      </c>
      <c r="E116" s="19" t="s">
        <v>397</v>
      </c>
    </row>
    <row r="117" spans="4:5" x14ac:dyDescent="0.3">
      <c r="D117" s="19" t="s">
        <v>720</v>
      </c>
      <c r="E117" s="19" t="s">
        <v>398</v>
      </c>
    </row>
    <row r="118" spans="4:5" x14ac:dyDescent="0.3">
      <c r="D118" s="19" t="s">
        <v>721</v>
      </c>
      <c r="E118" s="19" t="s">
        <v>399</v>
      </c>
    </row>
    <row r="119" spans="4:5" x14ac:dyDescent="0.3">
      <c r="D119" s="19" t="s">
        <v>722</v>
      </c>
      <c r="E119" s="19" t="s">
        <v>400</v>
      </c>
    </row>
    <row r="120" spans="4:5" x14ac:dyDescent="0.3">
      <c r="D120" s="19" t="s">
        <v>723</v>
      </c>
      <c r="E120" s="19" t="s">
        <v>401</v>
      </c>
    </row>
    <row r="121" spans="4:5" x14ac:dyDescent="0.3">
      <c r="D121" s="19" t="s">
        <v>724</v>
      </c>
      <c r="E121" s="19" t="s">
        <v>402</v>
      </c>
    </row>
    <row r="122" spans="4:5" x14ac:dyDescent="0.3">
      <c r="D122" s="19" t="s">
        <v>725</v>
      </c>
      <c r="E122" s="19" t="s">
        <v>403</v>
      </c>
    </row>
    <row r="123" spans="4:5" x14ac:dyDescent="0.3">
      <c r="D123" s="19" t="s">
        <v>726</v>
      </c>
      <c r="E123" s="19" t="s">
        <v>404</v>
      </c>
    </row>
    <row r="124" spans="4:5" x14ac:dyDescent="0.3">
      <c r="D124" s="19" t="s">
        <v>727</v>
      </c>
      <c r="E124" s="19" t="s">
        <v>405</v>
      </c>
    </row>
    <row r="125" spans="4:5" x14ac:dyDescent="0.3">
      <c r="D125" s="19" t="s">
        <v>728</v>
      </c>
      <c r="E125" s="19" t="s">
        <v>406</v>
      </c>
    </row>
    <row r="126" spans="4:5" x14ac:dyDescent="0.3">
      <c r="D126" s="19" t="s">
        <v>729</v>
      </c>
      <c r="E126" s="19" t="s">
        <v>407</v>
      </c>
    </row>
    <row r="127" spans="4:5" x14ac:dyDescent="0.3">
      <c r="D127" s="19" t="s">
        <v>730</v>
      </c>
      <c r="E127" s="19" t="s">
        <v>408</v>
      </c>
    </row>
    <row r="128" spans="4:5" x14ac:dyDescent="0.3">
      <c r="D128" s="19" t="s">
        <v>731</v>
      </c>
      <c r="E128" s="19" t="s">
        <v>409</v>
      </c>
    </row>
    <row r="129" spans="4:5" x14ac:dyDescent="0.3">
      <c r="D129" s="19" t="s">
        <v>732</v>
      </c>
      <c r="E129" s="19" t="s">
        <v>410</v>
      </c>
    </row>
    <row r="130" spans="4:5" x14ac:dyDescent="0.3">
      <c r="D130" s="19" t="s">
        <v>733</v>
      </c>
      <c r="E130" s="19" t="s">
        <v>411</v>
      </c>
    </row>
    <row r="131" spans="4:5" x14ac:dyDescent="0.3">
      <c r="D131" s="19" t="s">
        <v>734</v>
      </c>
      <c r="E131" s="19" t="s">
        <v>412</v>
      </c>
    </row>
    <row r="132" spans="4:5" x14ac:dyDescent="0.3">
      <c r="D132" s="19" t="s">
        <v>735</v>
      </c>
      <c r="E132" s="19" t="s">
        <v>413</v>
      </c>
    </row>
    <row r="133" spans="4:5" x14ac:dyDescent="0.3">
      <c r="D133" s="19" t="s">
        <v>736</v>
      </c>
      <c r="E133" s="19" t="s">
        <v>414</v>
      </c>
    </row>
    <row r="134" spans="4:5" x14ac:dyDescent="0.3">
      <c r="D134" s="19" t="s">
        <v>737</v>
      </c>
      <c r="E134" s="19" t="s">
        <v>415</v>
      </c>
    </row>
    <row r="135" spans="4:5" x14ac:dyDescent="0.3">
      <c r="D135" s="19" t="s">
        <v>738</v>
      </c>
      <c r="E135" s="19" t="s">
        <v>416</v>
      </c>
    </row>
    <row r="136" spans="4:5" x14ac:dyDescent="0.3">
      <c r="D136" s="19" t="s">
        <v>739</v>
      </c>
      <c r="E136" s="19" t="s">
        <v>417</v>
      </c>
    </row>
    <row r="137" spans="4:5" x14ac:dyDescent="0.3">
      <c r="D137" s="19" t="s">
        <v>740</v>
      </c>
      <c r="E137" s="19" t="s">
        <v>418</v>
      </c>
    </row>
    <row r="138" spans="4:5" x14ac:dyDescent="0.3">
      <c r="D138" s="19" t="s">
        <v>741</v>
      </c>
      <c r="E138" s="19" t="s">
        <v>419</v>
      </c>
    </row>
    <row r="139" spans="4:5" x14ac:dyDescent="0.3">
      <c r="D139" s="19" t="s">
        <v>742</v>
      </c>
      <c r="E139" s="19" t="s">
        <v>420</v>
      </c>
    </row>
    <row r="140" spans="4:5" x14ac:dyDescent="0.3">
      <c r="D140" s="19" t="s">
        <v>743</v>
      </c>
      <c r="E140" s="19" t="s">
        <v>421</v>
      </c>
    </row>
    <row r="141" spans="4:5" x14ac:dyDescent="0.3">
      <c r="D141" s="19" t="s">
        <v>744</v>
      </c>
      <c r="E141" s="19" t="s">
        <v>422</v>
      </c>
    </row>
    <row r="142" spans="4:5" x14ac:dyDescent="0.3">
      <c r="D142" s="19" t="s">
        <v>745</v>
      </c>
      <c r="E142" s="19" t="s">
        <v>423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5152834-392D-467E-84C2-E29535882643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152</vt:i4>
      </vt:variant>
    </vt:vector>
  </HeadingPairs>
  <TitlesOfParts>
    <vt:vector size="158" baseType="lpstr">
      <vt:lpstr>BASE BID</vt:lpstr>
      <vt:lpstr>Dashboard</vt:lpstr>
      <vt:lpstr>Data for Dashboard</vt:lpstr>
      <vt:lpstr>COST SUMMARY</vt:lpstr>
      <vt:lpstr>HOURLY RATES</vt:lpstr>
      <vt:lpstr>Data for Rough Cost</vt:lpstr>
      <vt:lpstr>Average</vt:lpstr>
      <vt:lpstr>Average1</vt:lpstr>
      <vt:lpstr>Average10</vt:lpstr>
      <vt:lpstr>Average11</vt:lpstr>
      <vt:lpstr>Average12</vt:lpstr>
      <vt:lpstr>Average2</vt:lpstr>
      <vt:lpstr>Average3</vt:lpstr>
      <vt:lpstr>Average4</vt:lpstr>
      <vt:lpstr>Average5</vt:lpstr>
      <vt:lpstr>Average6</vt:lpstr>
      <vt:lpstr>Average7</vt:lpstr>
      <vt:lpstr>Average8</vt:lpstr>
      <vt:lpstr>Average9</vt:lpstr>
      <vt:lpstr>Categories</vt:lpstr>
      <vt:lpstr>Commercial</vt:lpstr>
      <vt:lpstr>Custom</vt:lpstr>
      <vt:lpstr>Custom1</vt:lpstr>
      <vt:lpstr>Custom10</vt:lpstr>
      <vt:lpstr>Custom2</vt:lpstr>
      <vt:lpstr>Custom3</vt:lpstr>
      <vt:lpstr>Custom4</vt:lpstr>
      <vt:lpstr>Custom5</vt:lpstr>
      <vt:lpstr>Custom6</vt:lpstr>
      <vt:lpstr>Custom7</vt:lpstr>
      <vt:lpstr>Custom8</vt:lpstr>
      <vt:lpstr>Custom9</vt:lpstr>
      <vt:lpstr>Default</vt:lpstr>
      <vt:lpstr>Default1</vt:lpstr>
      <vt:lpstr>Default10</vt:lpstr>
      <vt:lpstr>Default100</vt:lpstr>
      <vt:lpstr>Default101</vt:lpstr>
      <vt:lpstr>Default11</vt:lpstr>
      <vt:lpstr>Default12</vt:lpstr>
      <vt:lpstr>Default13</vt:lpstr>
      <vt:lpstr>Default14</vt:lpstr>
      <vt:lpstr>Default15</vt:lpstr>
      <vt:lpstr>Default16</vt:lpstr>
      <vt:lpstr>Default17</vt:lpstr>
      <vt:lpstr>Default18</vt:lpstr>
      <vt:lpstr>Default19</vt:lpstr>
      <vt:lpstr>Default2</vt:lpstr>
      <vt:lpstr>Default20</vt:lpstr>
      <vt:lpstr>Default21</vt:lpstr>
      <vt:lpstr>Default22</vt:lpstr>
      <vt:lpstr>Default23</vt:lpstr>
      <vt:lpstr>Default24</vt:lpstr>
      <vt:lpstr>Default25</vt:lpstr>
      <vt:lpstr>Default26</vt:lpstr>
      <vt:lpstr>Default27</vt:lpstr>
      <vt:lpstr>Default28</vt:lpstr>
      <vt:lpstr>Default29</vt:lpstr>
      <vt:lpstr>Default3</vt:lpstr>
      <vt:lpstr>Default30</vt:lpstr>
      <vt:lpstr>Default31</vt:lpstr>
      <vt:lpstr>Default32</vt:lpstr>
      <vt:lpstr>Default33</vt:lpstr>
      <vt:lpstr>Default34</vt:lpstr>
      <vt:lpstr>Default35</vt:lpstr>
      <vt:lpstr>Default36</vt:lpstr>
      <vt:lpstr>Default37</vt:lpstr>
      <vt:lpstr>Default38</vt:lpstr>
      <vt:lpstr>Default39</vt:lpstr>
      <vt:lpstr>Default4</vt:lpstr>
      <vt:lpstr>Default40</vt:lpstr>
      <vt:lpstr>Default41</vt:lpstr>
      <vt:lpstr>Default42</vt:lpstr>
      <vt:lpstr>Default43</vt:lpstr>
      <vt:lpstr>Default44</vt:lpstr>
      <vt:lpstr>Default45</vt:lpstr>
      <vt:lpstr>Default46</vt:lpstr>
      <vt:lpstr>Default47</vt:lpstr>
      <vt:lpstr>Default48</vt:lpstr>
      <vt:lpstr>Default49</vt:lpstr>
      <vt:lpstr>Default5</vt:lpstr>
      <vt:lpstr>Default50</vt:lpstr>
      <vt:lpstr>Default51</vt:lpstr>
      <vt:lpstr>Default52</vt:lpstr>
      <vt:lpstr>Default53</vt:lpstr>
      <vt:lpstr>Default54</vt:lpstr>
      <vt:lpstr>Default55</vt:lpstr>
      <vt:lpstr>Default56</vt:lpstr>
      <vt:lpstr>Default57</vt:lpstr>
      <vt:lpstr>Default58</vt:lpstr>
      <vt:lpstr>Default59</vt:lpstr>
      <vt:lpstr>Default6</vt:lpstr>
      <vt:lpstr>Default60</vt:lpstr>
      <vt:lpstr>Default61</vt:lpstr>
      <vt:lpstr>Default62</vt:lpstr>
      <vt:lpstr>Default63</vt:lpstr>
      <vt:lpstr>Default64</vt:lpstr>
      <vt:lpstr>Default65</vt:lpstr>
      <vt:lpstr>Default66</vt:lpstr>
      <vt:lpstr>Default67</vt:lpstr>
      <vt:lpstr>Default68</vt:lpstr>
      <vt:lpstr>Default69</vt:lpstr>
      <vt:lpstr>Default7</vt:lpstr>
      <vt:lpstr>Default70</vt:lpstr>
      <vt:lpstr>Default71</vt:lpstr>
      <vt:lpstr>Default72</vt:lpstr>
      <vt:lpstr>Default73</vt:lpstr>
      <vt:lpstr>Default74</vt:lpstr>
      <vt:lpstr>Default75</vt:lpstr>
      <vt:lpstr>Default76</vt:lpstr>
      <vt:lpstr>Default77</vt:lpstr>
      <vt:lpstr>Default78</vt:lpstr>
      <vt:lpstr>Default79</vt:lpstr>
      <vt:lpstr>Default8</vt:lpstr>
      <vt:lpstr>Default80</vt:lpstr>
      <vt:lpstr>Default81</vt:lpstr>
      <vt:lpstr>Default82</vt:lpstr>
      <vt:lpstr>Default83</vt:lpstr>
      <vt:lpstr>Default84</vt:lpstr>
      <vt:lpstr>Default85</vt:lpstr>
      <vt:lpstr>Default86</vt:lpstr>
      <vt:lpstr>Default87</vt:lpstr>
      <vt:lpstr>Default88</vt:lpstr>
      <vt:lpstr>Default89</vt:lpstr>
      <vt:lpstr>Default9</vt:lpstr>
      <vt:lpstr>Default90</vt:lpstr>
      <vt:lpstr>Default91</vt:lpstr>
      <vt:lpstr>Default92</vt:lpstr>
      <vt:lpstr>Default93</vt:lpstr>
      <vt:lpstr>Default94</vt:lpstr>
      <vt:lpstr>Default95</vt:lpstr>
      <vt:lpstr>Default96</vt:lpstr>
      <vt:lpstr>Default97</vt:lpstr>
      <vt:lpstr>Default98</vt:lpstr>
      <vt:lpstr>Default99</vt:lpstr>
      <vt:lpstr>Economy</vt:lpstr>
      <vt:lpstr>Economy1</vt:lpstr>
      <vt:lpstr>Economy2</vt:lpstr>
      <vt:lpstr>Economy3</vt:lpstr>
      <vt:lpstr>Economy4</vt:lpstr>
      <vt:lpstr>Economy5</vt:lpstr>
      <vt:lpstr>Economy6</vt:lpstr>
      <vt:lpstr>Economy7</vt:lpstr>
      <vt:lpstr>Economy8</vt:lpstr>
      <vt:lpstr>Luxury</vt:lpstr>
      <vt:lpstr>Luxury1</vt:lpstr>
      <vt:lpstr>Luxury10</vt:lpstr>
      <vt:lpstr>Luxury2</vt:lpstr>
      <vt:lpstr>Luxury3</vt:lpstr>
      <vt:lpstr>Luxury4</vt:lpstr>
      <vt:lpstr>Luxury5</vt:lpstr>
      <vt:lpstr>Luxury6</vt:lpstr>
      <vt:lpstr>Luxury7</vt:lpstr>
      <vt:lpstr>Luxury8</vt:lpstr>
      <vt:lpstr>Luxury9</vt:lpstr>
      <vt:lpstr>'BASE BID'!Print_Area</vt:lpstr>
      <vt:lpstr>'COST SUMMARY'!Print_Area</vt:lpstr>
      <vt:lpstr>'BASE BID'!Print_Titles</vt:lpstr>
      <vt:lpstr>Residential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2013-07-08T09:36:48Z</dcterms:created>
  <dcterms:modified xsi:type="dcterms:W3CDTF">2026-02-18T19:52:27Z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{E5152834-392D-467E-84C2-E29535882643}</vt:lpwstr>
  </property>
</Properties>
</file>