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D:\Estimation Services\Sufran Sajid (LinkedIn)\6- June\13- Taco Bell Town Center (Site Works) WQ\WORK\TACO BELL, FAYETTEVILLE, NC 28306\"/>
    </mc:Choice>
  </mc:AlternateContent>
  <xr:revisionPtr revIDLastSave="0" documentId="13_ncr:1_{D175CFF5-A371-44D9-A0C1-03E2FDD6B5CB}" xr6:coauthVersionLast="47" xr6:coauthVersionMax="47" xr10:uidLastSave="{00000000-0000-0000-0000-000000000000}"/>
  <bookViews>
    <workbookView xWindow="-120" yWindow="-120" windowWidth="24240" windowHeight="13140" tabRatio="647" firstSheet="2" activeTab="2" xr2:uid="{00000000-000D-0000-FFFF-FFFF00000000}"/>
  </bookViews>
  <sheets>
    <sheet name="Chart1" sheetId="14" state="hidden" r:id="rId1"/>
    <sheet name="Sheet1" sheetId="15" state="hidden" r:id="rId2"/>
    <sheet name="DETAILED ESTIMATE" sheetId="16" r:id="rId3"/>
  </sheets>
  <definedNames>
    <definedName name="_xlnm._FilterDatabase" localSheetId="2" hidden="1">'DETAILED ESTIMATE'!$C$1:$L$307</definedName>
    <definedName name="_xlnm.Print_Area" localSheetId="2">'DETAILED ESTIMATE'!$A$1:$L$313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3" i="16" l="1"/>
  <c r="A283" i="16"/>
  <c r="A277" i="16"/>
  <c r="A274" i="16"/>
  <c r="A273" i="16"/>
  <c r="A272" i="16"/>
  <c r="A267" i="16"/>
  <c r="A266" i="16"/>
  <c r="A265" i="16"/>
  <c r="A258" i="16"/>
  <c r="A256" i="16"/>
  <c r="A255" i="16"/>
  <c r="A251" i="16"/>
  <c r="A247" i="16"/>
  <c r="A243" i="16"/>
  <c r="A242" i="16"/>
  <c r="A237" i="16"/>
  <c r="A236" i="16"/>
  <c r="A232" i="16"/>
  <c r="A225" i="16"/>
  <c r="A224" i="16"/>
  <c r="A221" i="16"/>
  <c r="A218" i="16"/>
  <c r="A217" i="16"/>
  <c r="A210" i="16"/>
  <c r="A207" i="16"/>
  <c r="A206" i="16"/>
  <c r="A199" i="16"/>
  <c r="A197" i="16"/>
  <c r="A196" i="16"/>
  <c r="A189" i="16"/>
  <c r="A186" i="16"/>
  <c r="A185" i="16"/>
  <c r="A178" i="16"/>
  <c r="A176" i="16"/>
  <c r="A175" i="16"/>
  <c r="A173" i="16"/>
  <c r="A172" i="16"/>
  <c r="A167" i="16"/>
  <c r="A166" i="16"/>
  <c r="A161" i="16"/>
  <c r="A160" i="16"/>
  <c r="A153" i="16"/>
  <c r="A152" i="16"/>
  <c r="A150" i="16"/>
  <c r="A149" i="16"/>
  <c r="A142" i="16"/>
  <c r="A141" i="16"/>
  <c r="A134" i="16"/>
  <c r="A133" i="16"/>
  <c r="A127" i="16"/>
  <c r="A126" i="16"/>
  <c r="A119" i="16"/>
  <c r="A118" i="16"/>
  <c r="A111" i="16"/>
  <c r="A110" i="16"/>
  <c r="A103" i="16"/>
  <c r="A102" i="16"/>
  <c r="A95" i="16"/>
  <c r="A94" i="16"/>
  <c r="A87" i="16"/>
  <c r="A86" i="16"/>
  <c r="A81" i="16"/>
  <c r="A80" i="16"/>
  <c r="A78" i="16"/>
  <c r="A77" i="16"/>
  <c r="A68" i="16"/>
  <c r="A67" i="16"/>
  <c r="A61" i="16"/>
  <c r="A60" i="16"/>
  <c r="A54" i="16"/>
  <c r="A53" i="16"/>
  <c r="A47" i="16"/>
  <c r="A46" i="16"/>
  <c r="A43" i="16"/>
  <c r="A42" i="16"/>
  <c r="A41" i="16"/>
  <c r="A36" i="16"/>
  <c r="A35" i="16"/>
  <c r="A29" i="16"/>
  <c r="A28" i="16"/>
  <c r="A9" i="16"/>
  <c r="A10" i="16" s="1"/>
  <c r="A18" i="16"/>
  <c r="A24" i="16"/>
  <c r="L290" i="16"/>
  <c r="L27" i="16"/>
  <c r="L6" i="16"/>
  <c r="A26" i="16"/>
  <c r="D295" i="16"/>
  <c r="D294" i="16"/>
  <c r="A292" i="16"/>
  <c r="D151" i="16"/>
  <c r="D159" i="16"/>
  <c r="D157" i="16"/>
  <c r="D156" i="16"/>
  <c r="D155" i="16"/>
  <c r="D65" i="16"/>
  <c r="D64" i="16"/>
  <c r="D63" i="16"/>
  <c r="D131" i="16"/>
  <c r="D130" i="16"/>
  <c r="D129" i="16"/>
  <c r="F140" i="16"/>
  <c r="K140" i="16" s="1"/>
  <c r="D136" i="16"/>
  <c r="F136" i="16" s="1"/>
  <c r="K136" i="16" s="1"/>
  <c r="D135" i="16"/>
  <c r="D137" i="16" s="1"/>
  <c r="F137" i="16" s="1"/>
  <c r="K137" i="16" s="1"/>
  <c r="D145" i="16"/>
  <c r="F145" i="16" s="1"/>
  <c r="D148" i="16"/>
  <c r="F148" i="16" s="1"/>
  <c r="K148" i="16" s="1"/>
  <c r="D147" i="16"/>
  <c r="F147" i="16" s="1"/>
  <c r="K147" i="16" s="1"/>
  <c r="F146" i="16"/>
  <c r="K146" i="16" s="1"/>
  <c r="F144" i="16"/>
  <c r="K144" i="16" s="1"/>
  <c r="F143" i="16"/>
  <c r="K143" i="16" s="1"/>
  <c r="D75" i="16"/>
  <c r="D73" i="16"/>
  <c r="F209" i="16"/>
  <c r="F188" i="16"/>
  <c r="K188" i="16" s="1"/>
  <c r="D205" i="16"/>
  <c r="F205" i="16" s="1"/>
  <c r="K205" i="16" s="1"/>
  <c r="D204" i="16"/>
  <c r="F204" i="16" s="1"/>
  <c r="K204" i="16" s="1"/>
  <c r="D203" i="16"/>
  <c r="F203" i="16" s="1"/>
  <c r="K203" i="16" s="1"/>
  <c r="D202" i="16"/>
  <c r="F202" i="16" s="1"/>
  <c r="K202" i="16" s="1"/>
  <c r="D201" i="16"/>
  <c r="F201" i="16" s="1"/>
  <c r="K201" i="16" s="1"/>
  <c r="D200" i="16"/>
  <c r="F200" i="16" s="1"/>
  <c r="K200" i="16" s="1"/>
  <c r="D195" i="16"/>
  <c r="F195" i="16" s="1"/>
  <c r="D194" i="16"/>
  <c r="F194" i="16" s="1"/>
  <c r="K194" i="16" s="1"/>
  <c r="D193" i="16"/>
  <c r="F193" i="16" s="1"/>
  <c r="D192" i="16"/>
  <c r="F192" i="16" s="1"/>
  <c r="K192" i="16" s="1"/>
  <c r="D191" i="16"/>
  <c r="F191" i="16" s="1"/>
  <c r="D190" i="16"/>
  <c r="D216" i="16"/>
  <c r="F216" i="16" s="1"/>
  <c r="D215" i="16"/>
  <c r="F215" i="16" s="1"/>
  <c r="K215" i="16" s="1"/>
  <c r="D214" i="16"/>
  <c r="F214" i="16" s="1"/>
  <c r="D213" i="16"/>
  <c r="F213" i="16" s="1"/>
  <c r="K213" i="16" s="1"/>
  <c r="D212" i="16"/>
  <c r="F212" i="16" s="1"/>
  <c r="F211" i="16"/>
  <c r="K211" i="16" s="1"/>
  <c r="D124" i="16"/>
  <c r="D122" i="16"/>
  <c r="D170" i="16"/>
  <c r="F170" i="16" s="1"/>
  <c r="K170" i="16" s="1"/>
  <c r="D169" i="16"/>
  <c r="F169" i="16" s="1"/>
  <c r="K169" i="16" s="1"/>
  <c r="D168" i="16"/>
  <c r="D171" i="16" s="1"/>
  <c r="F171" i="16" s="1"/>
  <c r="D164" i="16"/>
  <c r="F198" i="16"/>
  <c r="K198" i="16" s="1"/>
  <c r="F208" i="16"/>
  <c r="K208" i="16" s="1"/>
  <c r="D50" i="16"/>
  <c r="F50" i="16" s="1"/>
  <c r="D58" i="16"/>
  <c r="D57" i="16"/>
  <c r="F57" i="16" s="1"/>
  <c r="K57" i="16" s="1"/>
  <c r="D56" i="16"/>
  <c r="F56" i="16" s="1"/>
  <c r="F55" i="16"/>
  <c r="K55" i="16" s="1"/>
  <c r="D51" i="16"/>
  <c r="D49" i="16"/>
  <c r="D114" i="16"/>
  <c r="F114" i="16" s="1"/>
  <c r="D108" i="16"/>
  <c r="F108" i="16" s="1"/>
  <c r="D106" i="16"/>
  <c r="F106" i="16" s="1"/>
  <c r="K106" i="16" s="1"/>
  <c r="D117" i="16"/>
  <c r="F117" i="16" s="1"/>
  <c r="D116" i="16"/>
  <c r="F116" i="16" s="1"/>
  <c r="K116" i="16" s="1"/>
  <c r="D296" i="16"/>
  <c r="F190" i="16"/>
  <c r="K190" i="16" s="1"/>
  <c r="F187" i="16"/>
  <c r="K187" i="16" s="1"/>
  <c r="D264" i="16"/>
  <c r="D263" i="16"/>
  <c r="D183" i="16"/>
  <c r="F183" i="16" s="1"/>
  <c r="K183" i="16" s="1"/>
  <c r="D182" i="16"/>
  <c r="F182" i="16" s="1"/>
  <c r="D181" i="16"/>
  <c r="F181" i="16" s="1"/>
  <c r="K181" i="16" s="1"/>
  <c r="D180" i="16"/>
  <c r="F180" i="16" s="1"/>
  <c r="D184" i="16"/>
  <c r="F184" i="16" s="1"/>
  <c r="D179" i="16"/>
  <c r="F179" i="16" s="1"/>
  <c r="K179" i="16" s="1"/>
  <c r="F177" i="16"/>
  <c r="K177" i="16" s="1"/>
  <c r="A289" i="16"/>
  <c r="F288" i="16"/>
  <c r="K288" i="16" s="1"/>
  <c r="F286" i="16"/>
  <c r="K286" i="16" s="1"/>
  <c r="F287" i="16"/>
  <c r="F285" i="16"/>
  <c r="F271" i="16"/>
  <c r="D222" i="16"/>
  <c r="D223" i="16" s="1"/>
  <c r="D234" i="16"/>
  <c r="D233" i="16"/>
  <c r="F231" i="16"/>
  <c r="F230" i="16"/>
  <c r="F229" i="16"/>
  <c r="D250" i="16"/>
  <c r="D248" i="16"/>
  <c r="F246" i="16"/>
  <c r="K246" i="16" s="1"/>
  <c r="F115" i="16"/>
  <c r="K115" i="16" s="1"/>
  <c r="F113" i="16"/>
  <c r="F112" i="16"/>
  <c r="K112" i="16" s="1"/>
  <c r="D109" i="16"/>
  <c r="F109" i="16" s="1"/>
  <c r="K109" i="16" s="1"/>
  <c r="F107" i="16"/>
  <c r="K107" i="16" s="1"/>
  <c r="F105" i="16"/>
  <c r="F104" i="16"/>
  <c r="K104" i="16" s="1"/>
  <c r="D101" i="16"/>
  <c r="F101" i="16" s="1"/>
  <c r="K101" i="16" s="1"/>
  <c r="D100" i="16"/>
  <c r="F100" i="16" s="1"/>
  <c r="K100" i="16" s="1"/>
  <c r="F99" i="16"/>
  <c r="K99" i="16" s="1"/>
  <c r="D98" i="16"/>
  <c r="F98" i="16" s="1"/>
  <c r="D97" i="16"/>
  <c r="F97" i="16" s="1"/>
  <c r="F96" i="16"/>
  <c r="K96" i="16" s="1"/>
  <c r="F48" i="16"/>
  <c r="K48" i="16" s="1"/>
  <c r="D262" i="16"/>
  <c r="D261" i="16"/>
  <c r="D260" i="16"/>
  <c r="D259" i="16"/>
  <c r="F32" i="16"/>
  <c r="D293" i="16"/>
  <c r="A291" i="16"/>
  <c r="F62" i="16"/>
  <c r="A30" i="16" l="1"/>
  <c r="A31" i="16"/>
  <c r="A12" i="16"/>
  <c r="A11" i="16"/>
  <c r="A13" i="16" s="1"/>
  <c r="D139" i="16"/>
  <c r="F139" i="16" s="1"/>
  <c r="K139" i="16" s="1"/>
  <c r="D132" i="16"/>
  <c r="F135" i="16"/>
  <c r="K135" i="16" s="1"/>
  <c r="F138" i="16"/>
  <c r="K138" i="16" s="1"/>
  <c r="K145" i="16"/>
  <c r="K209" i="16"/>
  <c r="D52" i="16"/>
  <c r="F52" i="16" s="1"/>
  <c r="K52" i="16" s="1"/>
  <c r="F49" i="16"/>
  <c r="K49" i="16" s="1"/>
  <c r="K216" i="16"/>
  <c r="K212" i="16"/>
  <c r="K214" i="16"/>
  <c r="D59" i="16"/>
  <c r="F59" i="16" s="1"/>
  <c r="K59" i="16" s="1"/>
  <c r="K56" i="16"/>
  <c r="F58" i="16"/>
  <c r="K191" i="16"/>
  <c r="K193" i="16"/>
  <c r="K195" i="16"/>
  <c r="K182" i="16"/>
  <c r="K180" i="16"/>
  <c r="K184" i="16"/>
  <c r="K287" i="16"/>
  <c r="K285" i="16"/>
  <c r="K271" i="16"/>
  <c r="D235" i="16"/>
  <c r="K231" i="16"/>
  <c r="K230" i="16"/>
  <c r="K229" i="16"/>
  <c r="D249" i="16"/>
  <c r="K113" i="16"/>
  <c r="K114" i="16"/>
  <c r="K117" i="16"/>
  <c r="K105" i="16"/>
  <c r="K108" i="16"/>
  <c r="F168" i="16"/>
  <c r="K171" i="16"/>
  <c r="K97" i="16"/>
  <c r="K98" i="16"/>
  <c r="K50" i="16"/>
  <c r="F51" i="16"/>
  <c r="K32" i="16"/>
  <c r="D66" i="16"/>
  <c r="D76" i="16"/>
  <c r="K62" i="16"/>
  <c r="F163" i="16"/>
  <c r="K163" i="16" s="1"/>
  <c r="D165" i="16"/>
  <c r="D93" i="16"/>
  <c r="D92" i="16"/>
  <c r="F222" i="16"/>
  <c r="F220" i="16"/>
  <c r="K220" i="16" s="1"/>
  <c r="F234" i="16"/>
  <c r="F233" i="16"/>
  <c r="F228" i="16"/>
  <c r="K228" i="16" s="1"/>
  <c r="F227" i="16"/>
  <c r="K227" i="16" s="1"/>
  <c r="F241" i="16"/>
  <c r="F240" i="16"/>
  <c r="F239" i="16"/>
  <c r="K239" i="16" s="1"/>
  <c r="F238" i="16"/>
  <c r="F226" i="16"/>
  <c r="K226" i="16" s="1"/>
  <c r="F219" i="16"/>
  <c r="A34" i="16" l="1"/>
  <c r="A32" i="16"/>
  <c r="A33" i="16"/>
  <c r="A14" i="16"/>
  <c r="A17" i="16"/>
  <c r="A15" i="16"/>
  <c r="A16" i="16"/>
  <c r="K58" i="16"/>
  <c r="K168" i="16"/>
  <c r="K51" i="16"/>
  <c r="F223" i="16"/>
  <c r="K241" i="16"/>
  <c r="K240" i="16"/>
  <c r="K233" i="16"/>
  <c r="K222" i="16"/>
  <c r="K234" i="16"/>
  <c r="K219" i="16"/>
  <c r="K238" i="16"/>
  <c r="F235" i="16"/>
  <c r="A37" i="16" l="1"/>
  <c r="A19" i="16"/>
  <c r="K223" i="16"/>
  <c r="K235" i="16"/>
  <c r="A38" i="16" l="1"/>
  <c r="A20" i="16"/>
  <c r="A23" i="16" s="1"/>
  <c r="A25" i="16" s="1"/>
  <c r="A21" i="16"/>
  <c r="A22" i="16" s="1"/>
  <c r="F83" i="16"/>
  <c r="K83" i="16" s="1"/>
  <c r="F264" i="16"/>
  <c r="F263" i="16"/>
  <c r="F262" i="16"/>
  <c r="F261" i="16"/>
  <c r="F260" i="16"/>
  <c r="F259" i="16"/>
  <c r="F270" i="16"/>
  <c r="K270" i="16" s="1"/>
  <c r="F269" i="16"/>
  <c r="F268" i="16"/>
  <c r="F257" i="16"/>
  <c r="K257" i="16" s="1"/>
  <c r="A40" i="16" l="1"/>
  <c r="A39" i="16"/>
  <c r="K269" i="16"/>
  <c r="K268" i="16"/>
  <c r="K260" i="16"/>
  <c r="K263" i="16"/>
  <c r="K264" i="16"/>
  <c r="K259" i="16"/>
  <c r="K261" i="16"/>
  <c r="K262" i="16"/>
  <c r="A44" i="16" l="1"/>
  <c r="A45" i="16"/>
  <c r="F284" i="16"/>
  <c r="F282" i="16"/>
  <c r="K282" i="16" s="1"/>
  <c r="F281" i="16"/>
  <c r="K281" i="16" s="1"/>
  <c r="F280" i="16"/>
  <c r="K280" i="16" s="1"/>
  <c r="F279" i="16"/>
  <c r="K279" i="16" s="1"/>
  <c r="F278" i="16"/>
  <c r="K278" i="16" s="1"/>
  <c r="F276" i="16"/>
  <c r="K276" i="16" s="1"/>
  <c r="F275" i="16"/>
  <c r="A48" i="16" l="1"/>
  <c r="A49" i="16"/>
  <c r="A50" i="16" s="1"/>
  <c r="A51" i="16" s="1"/>
  <c r="A52" i="16" s="1"/>
  <c r="A55" i="16" s="1"/>
  <c r="A56" i="16" s="1"/>
  <c r="A57" i="16" s="1"/>
  <c r="A58" i="16" s="1"/>
  <c r="A59" i="16" s="1"/>
  <c r="A62" i="16" s="1"/>
  <c r="A63" i="16" s="1"/>
  <c r="A64" i="16" s="1"/>
  <c r="A65" i="16" s="1"/>
  <c r="A66" i="16" s="1"/>
  <c r="A69" i="16" s="1"/>
  <c r="A70" i="16" s="1"/>
  <c r="A71" i="16" s="1"/>
  <c r="A72" i="16" s="1"/>
  <c r="A73" i="16" s="1"/>
  <c r="A74" i="16" s="1"/>
  <c r="A75" i="16" s="1"/>
  <c r="A76" i="16" s="1"/>
  <c r="A79" i="16" s="1"/>
  <c r="A82" i="16" s="1"/>
  <c r="A83" i="16" s="1"/>
  <c r="A84" i="16" s="1"/>
  <c r="A85" i="16" s="1"/>
  <c r="A88" i="16" s="1"/>
  <c r="A89" i="16" s="1"/>
  <c r="A90" i="16" s="1"/>
  <c r="A91" i="16" s="1"/>
  <c r="A92" i="16" s="1"/>
  <c r="A93" i="16" s="1"/>
  <c r="K275" i="16"/>
  <c r="K284" i="16"/>
  <c r="A96" i="16" l="1"/>
  <c r="A97" i="16" s="1"/>
  <c r="A98" i="16" s="1"/>
  <c r="A99" i="16" s="1"/>
  <c r="A100" i="16" s="1"/>
  <c r="A101" i="16" s="1"/>
  <c r="A104" i="16" s="1"/>
  <c r="A105" i="16" s="1"/>
  <c r="A106" i="16" s="1"/>
  <c r="A107" i="16" s="1"/>
  <c r="A108" i="16" s="1"/>
  <c r="A109" i="16" s="1"/>
  <c r="A112" i="16" s="1"/>
  <c r="A113" i="16" s="1"/>
  <c r="A114" i="16" s="1"/>
  <c r="A115" i="16" s="1"/>
  <c r="A116" i="16" s="1"/>
  <c r="A117" i="16" s="1"/>
  <c r="A120" i="16" s="1"/>
  <c r="A121" i="16" s="1"/>
  <c r="A122" i="16" s="1"/>
  <c r="A123" i="16" s="1"/>
  <c r="A124" i="16" s="1"/>
  <c r="A125" i="16" s="1"/>
  <c r="A128" i="16" s="1"/>
  <c r="A129" i="16" s="1"/>
  <c r="A130" i="16" s="1"/>
  <c r="A131" i="16" s="1"/>
  <c r="A132" i="16" s="1"/>
  <c r="A135" i="16" s="1"/>
  <c r="A136" i="16" s="1"/>
  <c r="A137" i="16" s="1"/>
  <c r="A138" i="16" s="1"/>
  <c r="A139" i="16" s="1"/>
  <c r="A140" i="16" s="1"/>
  <c r="A143" i="16" s="1"/>
  <c r="A144" i="16" s="1"/>
  <c r="A145" i="16" s="1"/>
  <c r="A146" i="16" s="1"/>
  <c r="A147" i="16" s="1"/>
  <c r="A148" i="16" s="1"/>
  <c r="A151" i="16" s="1"/>
  <c r="A154" i="16" s="1"/>
  <c r="A155" i="16" s="1"/>
  <c r="A156" i="16" s="1"/>
  <c r="A157" i="16" s="1"/>
  <c r="A158" i="16" s="1"/>
  <c r="A159" i="16" s="1"/>
  <c r="A162" i="16" s="1"/>
  <c r="A163" i="16" s="1"/>
  <c r="A164" i="16" s="1"/>
  <c r="A165" i="16" s="1"/>
  <c r="A168" i="16" s="1"/>
  <c r="A169" i="16" s="1"/>
  <c r="A170" i="16" s="1"/>
  <c r="A171" i="16" s="1"/>
  <c r="A174" i="16" s="1"/>
  <c r="A177" i="16" s="1"/>
  <c r="A179" i="16" s="1"/>
  <c r="A180" i="16" s="1"/>
  <c r="A181" i="16" s="1"/>
  <c r="A182" i="16" s="1"/>
  <c r="A183" i="16" s="1"/>
  <c r="A184" i="16" s="1"/>
  <c r="A187" i="16" s="1"/>
  <c r="A188" i="16" s="1"/>
  <c r="A190" i="16" s="1"/>
  <c r="A191" i="16" s="1"/>
  <c r="A192" i="16" s="1"/>
  <c r="A193" i="16" s="1"/>
  <c r="A194" i="16" s="1"/>
  <c r="A195" i="16" s="1"/>
  <c r="A198" i="16" s="1"/>
  <c r="A200" i="16" s="1"/>
  <c r="A201" i="16" s="1"/>
  <c r="A202" i="16" s="1"/>
  <c r="A203" i="16" s="1"/>
  <c r="A204" i="16" s="1"/>
  <c r="A205" i="16" s="1"/>
  <c r="A208" i="16" s="1"/>
  <c r="A209" i="16" s="1"/>
  <c r="A211" i="16" s="1"/>
  <c r="A212" i="16" s="1"/>
  <c r="A213" i="16" s="1"/>
  <c r="A214" i="16" s="1"/>
  <c r="A215" i="16" s="1"/>
  <c r="A216" i="16" s="1"/>
  <c r="A219" i="16" s="1"/>
  <c r="A220" i="16" s="1"/>
  <c r="A222" i="16" s="1"/>
  <c r="A223" i="16" s="1"/>
  <c r="A226" i="16" s="1"/>
  <c r="A227" i="16" s="1"/>
  <c r="A228" i="16" s="1"/>
  <c r="A229" i="16" s="1"/>
  <c r="A230" i="16" s="1"/>
  <c r="A231" i="16" s="1"/>
  <c r="A233" i="16" s="1"/>
  <c r="A234" i="16" s="1"/>
  <c r="A235" i="16" s="1"/>
  <c r="A238" i="16" s="1"/>
  <c r="A239" i="16" s="1"/>
  <c r="A240" i="16" s="1"/>
  <c r="A241" i="16" s="1"/>
  <c r="A244" i="16" s="1"/>
  <c r="A245" i="16" s="1"/>
  <c r="A246" i="16" s="1"/>
  <c r="A248" i="16" s="1"/>
  <c r="A249" i="16" s="1"/>
  <c r="A250" i="16" s="1"/>
  <c r="A252" i="16" s="1"/>
  <c r="A253" i="16" s="1"/>
  <c r="A254" i="16" s="1"/>
  <c r="A257" i="16" s="1"/>
  <c r="A259" i="16" s="1"/>
  <c r="A260" i="16" s="1"/>
  <c r="A261" i="16" s="1"/>
  <c r="A262" i="16" s="1"/>
  <c r="A263" i="16" s="1"/>
  <c r="A264" i="16" s="1"/>
  <c r="A268" i="16" s="1"/>
  <c r="A269" i="16" s="1"/>
  <c r="A270" i="16" s="1"/>
  <c r="A271" i="16" s="1"/>
  <c r="A275" i="16" s="1"/>
  <c r="A276" i="16" s="1"/>
  <c r="A278" i="16" s="1"/>
  <c r="A279" i="16" s="1"/>
  <c r="A280" i="16" s="1"/>
  <c r="A281" i="16" s="1"/>
  <c r="A282" i="16" s="1"/>
  <c r="A284" i="16" s="1"/>
  <c r="A285" i="16" s="1"/>
  <c r="A286" i="16" s="1"/>
  <c r="A287" i="16" s="1"/>
  <c r="A288" i="16" s="1"/>
  <c r="F294" i="16"/>
  <c r="F293" i="16"/>
  <c r="F295" i="16"/>
  <c r="F74" i="16"/>
  <c r="K74" i="16" s="1"/>
  <c r="F165" i="16"/>
  <c r="F164" i="16"/>
  <c r="F131" i="16"/>
  <c r="K131" i="16" s="1"/>
  <c r="F130" i="16"/>
  <c r="K130" i="16" s="1"/>
  <c r="F64" i="16"/>
  <c r="F151" i="16"/>
  <c r="K151" i="16" s="1"/>
  <c r="F159" i="16"/>
  <c r="K159" i="16" s="1"/>
  <c r="F157" i="16"/>
  <c r="K157" i="16" s="1"/>
  <c r="F156" i="16"/>
  <c r="K156" i="16" s="1"/>
  <c r="F155" i="16"/>
  <c r="K155" i="16" s="1"/>
  <c r="F248" i="16"/>
  <c r="F72" i="16"/>
  <c r="K72" i="16" s="1"/>
  <c r="K248" i="16" l="1"/>
  <c r="K64" i="16"/>
  <c r="K295" i="16"/>
  <c r="K293" i="16"/>
  <c r="K294" i="16"/>
  <c r="F132" i="16"/>
  <c r="K132" i="16" s="1"/>
  <c r="D158" i="16"/>
  <c r="F158" i="16" s="1"/>
  <c r="K158" i="16" s="1"/>
  <c r="F66" i="16"/>
  <c r="F65" i="16"/>
  <c r="K65" i="16" s="1"/>
  <c r="K165" i="16"/>
  <c r="F76" i="16"/>
  <c r="K76" i="16" s="1"/>
  <c r="F249" i="16"/>
  <c r="F63" i="16"/>
  <c r="K63" i="16" s="1"/>
  <c r="F129" i="16"/>
  <c r="K129" i="16" s="1"/>
  <c r="F250" i="16"/>
  <c r="F75" i="16"/>
  <c r="K75" i="16" s="1"/>
  <c r="F73" i="16"/>
  <c r="K73" i="16" s="1"/>
  <c r="K164" i="16"/>
  <c r="D125" i="16"/>
  <c r="F125" i="16" s="1"/>
  <c r="K125" i="16" s="1"/>
  <c r="F124" i="16"/>
  <c r="K124" i="16" s="1"/>
  <c r="F123" i="16"/>
  <c r="K123" i="16" s="1"/>
  <c r="F122" i="16"/>
  <c r="K122" i="16" s="1"/>
  <c r="F121" i="16"/>
  <c r="K121" i="16" s="1"/>
  <c r="D89" i="16"/>
  <c r="F89" i="16" s="1"/>
  <c r="K89" i="16" s="1"/>
  <c r="D90" i="16"/>
  <c r="F90" i="16" s="1"/>
  <c r="K90" i="16" s="1"/>
  <c r="F93" i="16"/>
  <c r="K93" i="16" s="1"/>
  <c r="F92" i="16"/>
  <c r="K92" i="16" s="1"/>
  <c r="F91" i="16"/>
  <c r="K91" i="16" s="1"/>
  <c r="F71" i="16"/>
  <c r="K71" i="16" s="1"/>
  <c r="F45" i="16"/>
  <c r="F44" i="16"/>
  <c r="F85" i="16"/>
  <c r="F84" i="16"/>
  <c r="F70" i="16"/>
  <c r="K70" i="16" s="1"/>
  <c r="F69" i="16"/>
  <c r="K69" i="16" s="1"/>
  <c r="F88" i="16"/>
  <c r="K88" i="16" s="1"/>
  <c r="F82" i="16"/>
  <c r="F79" i="16"/>
  <c r="K79" i="16" s="1"/>
  <c r="F162" i="16"/>
  <c r="F154" i="16"/>
  <c r="K154" i="16" s="1"/>
  <c r="F128" i="16"/>
  <c r="K128" i="16" s="1"/>
  <c r="F120" i="16"/>
  <c r="K120" i="16" s="1"/>
  <c r="F174" i="16"/>
  <c r="F252" i="16"/>
  <c r="F253" i="16"/>
  <c r="F254" i="16"/>
  <c r="F39" i="16"/>
  <c r="F40" i="16"/>
  <c r="F38" i="16"/>
  <c r="F37" i="16"/>
  <c r="F33" i="16"/>
  <c r="F34" i="16"/>
  <c r="F31" i="16"/>
  <c r="F30" i="16"/>
  <c r="K40" i="16" l="1"/>
  <c r="K33" i="16"/>
  <c r="K31" i="16"/>
  <c r="K37" i="16"/>
  <c r="K38" i="16"/>
  <c r="K39" i="16"/>
  <c r="K249" i="16"/>
  <c r="K254" i="16"/>
  <c r="K253" i="16"/>
  <c r="K250" i="16"/>
  <c r="K252" i="16"/>
  <c r="K34" i="16"/>
  <c r="K66" i="16"/>
  <c r="K174" i="16"/>
  <c r="K45" i="16"/>
  <c r="K162" i="16"/>
  <c r="K82" i="16"/>
  <c r="K85" i="16"/>
  <c r="K44" i="16"/>
  <c r="K84" i="16"/>
  <c r="K30" i="16"/>
  <c r="A297" i="16"/>
  <c r="F296" i="16" l="1"/>
  <c r="F245" i="16"/>
  <c r="F244" i="16"/>
  <c r="K296" i="16" l="1"/>
  <c r="K244" i="16"/>
  <c r="K245" i="16"/>
  <c r="F25" i="16" l="1"/>
  <c r="F23" i="16"/>
  <c r="F22" i="16"/>
  <c r="F21" i="16"/>
  <c r="F20" i="16"/>
  <c r="F19" i="16"/>
  <c r="F17" i="16"/>
  <c r="F16" i="16"/>
  <c r="F15" i="16"/>
  <c r="F14" i="16"/>
  <c r="F13" i="16"/>
  <c r="F12" i="16"/>
  <c r="F11" i="16"/>
  <c r="F10" i="16"/>
  <c r="F9" i="16"/>
  <c r="F8" i="16"/>
  <c r="K19" i="16" l="1"/>
  <c r="K25" i="16"/>
  <c r="K14" i="16"/>
  <c r="K12" i="16"/>
  <c r="K16" i="16"/>
  <c r="K9" i="16"/>
  <c r="K17" i="16"/>
  <c r="K22" i="16"/>
  <c r="K10" i="16"/>
  <c r="K23" i="16"/>
  <c r="K20" i="16"/>
  <c r="K8" i="16"/>
  <c r="K11" i="16"/>
  <c r="K15" i="16"/>
  <c r="K21" i="16"/>
  <c r="K299" i="16" l="1"/>
  <c r="A6" i="16"/>
  <c r="A8" i="16" l="1"/>
  <c r="K300" i="16" l="1"/>
  <c r="K301" i="16" s="1"/>
  <c r="L299" i="16" l="1"/>
  <c r="L300" i="16" l="1"/>
  <c r="L301" i="16" s="1"/>
  <c r="A293" i="16" l="1"/>
  <c r="A294" i="16" s="1"/>
  <c r="A295" i="16" s="1"/>
  <c r="A296" i="16" s="1"/>
</calcChain>
</file>

<file path=xl/sharedStrings.xml><?xml version="1.0" encoding="utf-8"?>
<sst xmlns="http://schemas.openxmlformats.org/spreadsheetml/2006/main" count="486" uniqueCount="207">
  <si>
    <t>DESCRIPTION</t>
  </si>
  <si>
    <t>SUB TOTAL</t>
  </si>
  <si>
    <t>SR #</t>
  </si>
  <si>
    <t>QUANTITY</t>
  </si>
  <si>
    <t>WASTAGE
(10%)</t>
  </si>
  <si>
    <t>QTY WITH
WASTAGE</t>
  </si>
  <si>
    <t>UNIT OF
MEASURMENT</t>
  </si>
  <si>
    <t>TOTAL ITEM
COST</t>
  </si>
  <si>
    <t>TOTAL TRADE
COST</t>
  </si>
  <si>
    <t>TOTAL BID</t>
  </si>
  <si>
    <t>OVERHEAD &amp; PROFIT (25%)</t>
  </si>
  <si>
    <t>CSI SECT</t>
  </si>
  <si>
    <t>GENERAL CONDITIONS</t>
  </si>
  <si>
    <t>LS</t>
  </si>
  <si>
    <t>Permits Documentation And Fees</t>
  </si>
  <si>
    <t>Hazardous Waste Or Disposal Work</t>
  </si>
  <si>
    <t>Owner Purchased, Contractor Installed Items</t>
  </si>
  <si>
    <t>Contractors Use Of New And Existing Facilities</t>
  </si>
  <si>
    <t>Correction Of Unsatisfactory Conditions</t>
  </si>
  <si>
    <t>Restoration Of Unit Damaged During Installation</t>
  </si>
  <si>
    <t xml:space="preserve">Replacement Of Units Which Cannot Be Restored </t>
  </si>
  <si>
    <t>Maintaining Existing Construction In Weather High Conditions</t>
  </si>
  <si>
    <t>Signage</t>
  </si>
  <si>
    <t>Supervisory Personnel</t>
  </si>
  <si>
    <t/>
  </si>
  <si>
    <t>Temporary Services</t>
  </si>
  <si>
    <t>Water</t>
  </si>
  <si>
    <t>Lighting And Power</t>
  </si>
  <si>
    <t>Toilet Facilities</t>
  </si>
  <si>
    <t>Material Storage</t>
  </si>
  <si>
    <t>Contractor's Safety Program</t>
  </si>
  <si>
    <t>EXISTING CONDITIONS</t>
  </si>
  <si>
    <t>DIV.01</t>
  </si>
  <si>
    <t>DIV.02</t>
  </si>
  <si>
    <t>DIV.31</t>
  </si>
  <si>
    <t>EARTHWORKS</t>
  </si>
  <si>
    <t>Notes</t>
  </si>
  <si>
    <t>1. This estimate is based on real market prices that are regularly updated by our team persons through market surveys and online resoures, we still encourage our clients to put their own.</t>
  </si>
  <si>
    <t>2. This sheet is your property and we encourage you to fine tune the wastage and pricing values to your preference.</t>
  </si>
  <si>
    <t xml:space="preserve">PREPARED BY : </t>
  </si>
  <si>
    <t>LF</t>
  </si>
  <si>
    <t>EA</t>
  </si>
  <si>
    <t>SF</t>
  </si>
  <si>
    <t>DEMOLITION</t>
  </si>
  <si>
    <t>SITE WORK</t>
  </si>
  <si>
    <t>CUT &amp; FILL</t>
  </si>
  <si>
    <t>Fill</t>
  </si>
  <si>
    <t>CY</t>
  </si>
  <si>
    <t>UNIT COST (LAB+MAT)</t>
  </si>
  <si>
    <t>UNIT MAT COST</t>
  </si>
  <si>
    <t>3. Feel free to contact us for any queries or suggestions.</t>
  </si>
  <si>
    <t>UNIT LABOR COST</t>
  </si>
  <si>
    <t>Dumpster wall footing</t>
  </si>
  <si>
    <t>24" Stopping bar</t>
  </si>
  <si>
    <t>Accessible parking symbols</t>
  </si>
  <si>
    <t>Van accessible handicap parking sign</t>
  </si>
  <si>
    <t>Light poles</t>
  </si>
  <si>
    <t>Silt fence</t>
  </si>
  <si>
    <t>EROSION CONTROL PLAN</t>
  </si>
  <si>
    <t>STORM WATER</t>
  </si>
  <si>
    <t>CURB AND GUTTER</t>
  </si>
  <si>
    <t>6" Edge form</t>
  </si>
  <si>
    <t>Saw cut control joint</t>
  </si>
  <si>
    <t>Expansion joint</t>
  </si>
  <si>
    <t>LB</t>
  </si>
  <si>
    <t>CONCRETE SIDEWALK</t>
  </si>
  <si>
    <t>4" Edge form</t>
  </si>
  <si>
    <t>4" Thick concrete sidewalk 4000 Psi</t>
  </si>
  <si>
    <t>TRUNCATED DOMES</t>
  </si>
  <si>
    <t>PAVEMENT STRIPPING</t>
  </si>
  <si>
    <t>STANDARD DUTY ASPHALT PAVEMENT</t>
  </si>
  <si>
    <t>Concrete 3000 Psi</t>
  </si>
  <si>
    <t xml:space="preserve">Formwork </t>
  </si>
  <si>
    <t>Excavation</t>
  </si>
  <si>
    <t>Backfill</t>
  </si>
  <si>
    <t>SFCA</t>
  </si>
  <si>
    <t>SIGNAGE</t>
  </si>
  <si>
    <t>Pipe trench</t>
  </si>
  <si>
    <t>Compacted backfill</t>
  </si>
  <si>
    <t>Gravel bedding</t>
  </si>
  <si>
    <t>Excavation/Layback excavation</t>
  </si>
  <si>
    <t>DUMPSTER ENCLOSURE GATE POST FOOTING</t>
  </si>
  <si>
    <t>DUMPSTER ENCLOSURE PAD</t>
  </si>
  <si>
    <t>DUMPSTER ENCLOSURE WALL FOOTING</t>
  </si>
  <si>
    <t>DUMPSTER ENCLOSURE WALL</t>
  </si>
  <si>
    <t>Concrete 3000 Psi Concrete encasement at dumpter enclosure</t>
  </si>
  <si>
    <t>Pipe trench dimensions are assumed and layback excavation is also included. Please confirm.</t>
  </si>
  <si>
    <t>AC</t>
  </si>
  <si>
    <t>Clearing and grubbing</t>
  </si>
  <si>
    <t>Scope: Demo,Sitework, Grading and Stormwater.</t>
  </si>
  <si>
    <t>Rest are excluded</t>
  </si>
  <si>
    <t>Exclusions</t>
  </si>
  <si>
    <t>Building concrete</t>
  </si>
  <si>
    <t>Structural excavation backfill</t>
  </si>
  <si>
    <t>LANDSCAPING</t>
  </si>
  <si>
    <t>Trees</t>
  </si>
  <si>
    <t>Shrubs</t>
  </si>
  <si>
    <t>SWM SEED</t>
  </si>
  <si>
    <t>Concrete Curb &amp; Gutter to be Removed</t>
  </si>
  <si>
    <t>Footing</t>
  </si>
  <si>
    <t>Formwork circular footing</t>
  </si>
  <si>
    <t>Lighting plan</t>
  </si>
  <si>
    <t>Construction Entrance</t>
  </si>
  <si>
    <t>4" White  Stripping lines</t>
  </si>
  <si>
    <t>Trench</t>
  </si>
  <si>
    <t>Trench details are assumed.</t>
  </si>
  <si>
    <t>Pipe trenches</t>
  </si>
  <si>
    <t>UTILITIES</t>
  </si>
  <si>
    <t>6" Sanitary Cleanout</t>
  </si>
  <si>
    <t xml:space="preserve">Compacted subgrade of all pavements </t>
  </si>
  <si>
    <t>8" Compacted  Stone base</t>
  </si>
  <si>
    <t>Stop Sign</t>
  </si>
  <si>
    <t xml:space="preserve">6" Dia bollard </t>
  </si>
  <si>
    <t>DUMPSTER BOLLARDS</t>
  </si>
  <si>
    <t>PROJECT :  TACO BELL</t>
  </si>
  <si>
    <t>ADDRESS : 2863 TOWN CENTER DRIVE, FAYETTEVILLE, NC 28306</t>
  </si>
  <si>
    <t>Fire Hydrant to be Relocted</t>
  </si>
  <si>
    <t>Sign to be Removed</t>
  </si>
  <si>
    <t>Concrete Sidewalk &amp; Pavement to be Removed</t>
  </si>
  <si>
    <t>Full Depth Sawcut Existing Concrete</t>
  </si>
  <si>
    <t>6" Wide Concrete Curb</t>
  </si>
  <si>
    <t xml:space="preserve"> Concrete Curb &amp; Gutter</t>
  </si>
  <si>
    <t>Truncated Domes</t>
  </si>
  <si>
    <t>Directional Arrow Symbol</t>
  </si>
  <si>
    <t>MISC ITEMS</t>
  </si>
  <si>
    <t>Precast Concrete Wheel Stop</t>
  </si>
  <si>
    <t>Footing details are assumed.</t>
  </si>
  <si>
    <t>BOLLARDS</t>
  </si>
  <si>
    <t>CONCRETE SIDEWALK ACCESSIBLE RAMP</t>
  </si>
  <si>
    <t>HEAVY DUTY ASPHALT PAVEMENT</t>
  </si>
  <si>
    <t>CONCRETE PAVEMENT</t>
  </si>
  <si>
    <t>BLACK COLORED CONCRETE PAVEMENT</t>
  </si>
  <si>
    <t>10" Pvc Pipe</t>
  </si>
  <si>
    <t>15" HDPE Pipe</t>
  </si>
  <si>
    <t>18" HDPE Pipe</t>
  </si>
  <si>
    <t>Curb Inlet</t>
  </si>
  <si>
    <t>Roof Drain</t>
  </si>
  <si>
    <t>Strom Manhole</t>
  </si>
  <si>
    <t>Communication Conduit</t>
  </si>
  <si>
    <t>2" Pvc Electrical Conduit</t>
  </si>
  <si>
    <t>Electrical Conduit</t>
  </si>
  <si>
    <t>Gas Line</t>
  </si>
  <si>
    <t>6" SDR 35 Pvc San Pipe</t>
  </si>
  <si>
    <t>1-1/2" Back Flow Preventer</t>
  </si>
  <si>
    <t>1000 Gallon Grease Trap Interceptor</t>
  </si>
  <si>
    <t>Gas Meter &amp; Service Connection</t>
  </si>
  <si>
    <t>Lateral Boring: Steel Casing For Gas Pipe</t>
  </si>
  <si>
    <t>1-1/2" Domestic Water Pipe</t>
  </si>
  <si>
    <t>6" Fire Water Pipe</t>
  </si>
  <si>
    <t xml:space="preserve">Square Aluminum Light poles- Non Tapered 
-25'-0" Height An Overall Fixture Heaight 27-6" </t>
  </si>
  <si>
    <t>Single Mounted Light @ Pole
Manufactuer : BEACON PRODUCTS
Model#: VP-2-320L-315-4K7-2-UNV-A-DBT</t>
  </si>
  <si>
    <t>Single Mounted Light @ Pole
Manufactuer : BEACON PRODUCTS
Model#: VP-2-320L-315-4K7-4W-UNV-A-DBT</t>
  </si>
  <si>
    <t>Single Mounted Light @ Pole
Manufactuer : BEACON PRODUCTS
Model#: VP-2-320L-315-4K7-4F-UNV-A-DBT</t>
  </si>
  <si>
    <t>Back to Back Light @ Pole
Manufactuer : BEACON PRODUCTS
Model#: (2) VP-2-320L-315-4K7-5QW-UNV-A-DBT</t>
  </si>
  <si>
    <t>Botanical Name / Common Name: Acer Buergerianum / Trident Maple</t>
  </si>
  <si>
    <t>Botanical Name / Common Name: Lagerstroemia Indica 'Nactchez'  / Natchez Crepe Myrtle</t>
  </si>
  <si>
    <t xml:space="preserve">Sod Area </t>
  </si>
  <si>
    <t xml:space="preserve">Brickship Mulch </t>
  </si>
  <si>
    <t>Landscape Edging</t>
  </si>
  <si>
    <t>Botanical Name / Common Name: Ilex Cornuta ' Dwaf Burford' / Dwarf Burford Holly</t>
  </si>
  <si>
    <t>Botanical Name / Common Name: Ilex Cornuta ' Needlepoint' / Needlepoint Holly</t>
  </si>
  <si>
    <t>Botanical Name / Common Name: Ilex Vornitoria ' Stoke's Dwarf' / Stoke's Dwarf Holly</t>
  </si>
  <si>
    <t>Botanical Name / Common Name: Loropetalum Chinese ' Kurenai' / Dwarf Pink Chinese Fringe Flower</t>
  </si>
  <si>
    <t>Botanical Name / Common Name: Nandina Domestica ' Firepower' / Fire Power Dwarf Nandina</t>
  </si>
  <si>
    <t xml:space="preserve">Perennial Plantings </t>
  </si>
  <si>
    <t>Concrete Washout Area</t>
  </si>
  <si>
    <t>Strom Inlet Protection</t>
  </si>
  <si>
    <t>Permanent/ Temporary Seeding Area</t>
  </si>
  <si>
    <t>4#5 Vertical bars</t>
  </si>
  <si>
    <t>#3 @ 12" o.c. Ties</t>
  </si>
  <si>
    <t>2.0" HMA, Surface Course</t>
  </si>
  <si>
    <t>2.0" HMA, Intermediate Course</t>
  </si>
  <si>
    <t>6" Compacted  Stone base</t>
  </si>
  <si>
    <t>12" Compacted Subgrade</t>
  </si>
  <si>
    <t>2.5" HMA, Surface Course</t>
  </si>
  <si>
    <t>3.0" HMA, Intermediate Course</t>
  </si>
  <si>
    <t>6" Thick Portland Cement Concrete (4000 PSI)</t>
  </si>
  <si>
    <t>Reinforce With 6x6 W/ 2.1x2.1 WWF</t>
  </si>
  <si>
    <t xml:space="preserve">4" Compacted Aggregate base </t>
  </si>
  <si>
    <t>Reinforce With 6x6 W/ 1.4x1.4 WWF</t>
  </si>
  <si>
    <t xml:space="preserve">4" Compacted Sand  base </t>
  </si>
  <si>
    <t>MENU BOARD BOLLARDS</t>
  </si>
  <si>
    <t>CANOPY &amp; FOOTING</t>
  </si>
  <si>
    <t>SPEAKER &amp; FOOTING</t>
  </si>
  <si>
    <t>CLEARANCE BAR  &amp; FOOTING</t>
  </si>
  <si>
    <t>MENU BOARD &amp; FOOTING</t>
  </si>
  <si>
    <t>MENU BOARD &amp; CANOPY AREA PAD</t>
  </si>
  <si>
    <t>4" Thick concrete Pad 4000 Psi</t>
  </si>
  <si>
    <t>4#6 Vertical bars</t>
  </si>
  <si>
    <t>Speaker ( As Specified)</t>
  </si>
  <si>
    <t>Clearance Bar Post (HSS 4x4x1/4) [10'-0" Height]</t>
  </si>
  <si>
    <t>Clearance Bar  [8'-6" Length]</t>
  </si>
  <si>
    <t>Canopy Post (HSS5x5x5/16) [10'-0" Height]</t>
  </si>
  <si>
    <t>Canopy Shed (As Specified)</t>
  </si>
  <si>
    <t>Menu Board (5'-0-1/2" Wide x 4'-11-5/8" High)</t>
  </si>
  <si>
    <t>Handcap signage</t>
  </si>
  <si>
    <t>Directional Sign</t>
  </si>
  <si>
    <t>DUMPSTER APRON PAD</t>
  </si>
  <si>
    <t>7" Thick Portland Cement Concrete (4000 PSI)</t>
  </si>
  <si>
    <t>Reinforce With #4 @ 24" O.C</t>
  </si>
  <si>
    <t xml:space="preserve">6" Compacted Aggregate base </t>
  </si>
  <si>
    <t>12"x12"  Thick Edge</t>
  </si>
  <si>
    <t>2-#5 Cont</t>
  </si>
  <si>
    <t>8" Solid Grouted CMU wall
#5 @ 48" o.c. Vertical rebar
Dura-o-Wall Every Second Course. Stucco &amp; Paint</t>
  </si>
  <si>
    <t>Top soil stripping (4" Assumed) (53100 SF)</t>
  </si>
  <si>
    <t>Dumpster gate [5'-3" Wide x 7'-9" High] (Metal Framed With Trex Composite Decking)</t>
  </si>
  <si>
    <t>DATE : 6/29/2022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</si>
</sst>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0_);_(&quot;$&quot;* \(#,##0.0\);_(&quot;$&quot;* &quot;-&quot;??_);_(@_)"/>
    <numFmt numFmtId="167" formatCode="#,##0.0_);\(#,##0.0\)"/>
    <numFmt numFmtId="168" formatCode="_(* #,##0.00_);_(* \(#,##0.00\);_(* &quot;-&quot;_);_(@_)"/>
    <numFmt numFmtId="169" formatCode="_(* #,##0.0_);_(* \(#,##0.0\);_(* &quot;-&quot;_);_(@_)"/>
  </numFmts>
  <fonts count="34" x14ac:knownFonts="1">
    <font>
      <sz val="12"/>
      <name val="Arial"/>
    </font>
    <font>
      <sz val="11"/>
      <color theme="1"/>
      <name val="Calibri"/>
      <family val="2"/>
      <scheme val="minor"/>
    </font>
    <font>
      <sz val="11"/>
      <color theme="1"/>
      <name val="Calibri"/>
      <family val="2"/>
      <scheme val="minor"/>
    </font>
    <font>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color theme="1"/>
      <name val="Calibri"/>
      <family val="2"/>
      <scheme val="minor"/>
    </font>
    <font>
      <b/>
      <sz val="11"/>
      <name val="Calibri"/>
      <family val="2"/>
      <scheme val="minor"/>
    </font>
    <font>
      <sz val="11"/>
      <name val="Calibri"/>
      <family val="2"/>
      <scheme val="minor"/>
    </font>
    <font>
      <sz val="12"/>
      <name val="Arial"/>
      <family val="2"/>
    </font>
    <font>
      <sz val="12"/>
      <name val="Arial"/>
      <family val="2"/>
    </font>
    <font>
      <b/>
      <sz val="11"/>
      <color theme="0" tint="-0.499984740745262"/>
      <name val="Calibri"/>
      <family val="2"/>
      <scheme val="minor"/>
    </font>
    <font>
      <b/>
      <sz val="11"/>
      <color theme="9" tint="-0.249977111117893"/>
      <name val="Calibri"/>
      <family val="2"/>
      <scheme val="minor"/>
    </font>
    <font>
      <b/>
      <sz val="14"/>
      <color theme="9"/>
      <name val="Calibri"/>
      <family val="2"/>
      <scheme val="minor"/>
    </font>
    <font>
      <b/>
      <i/>
      <sz val="11"/>
      <name val="Calibri"/>
      <family val="2"/>
      <scheme val="minor"/>
    </font>
    <font>
      <sz val="11"/>
      <color rgb="FF00B050"/>
      <name val="Calibri"/>
      <family val="2"/>
      <scheme val="minor"/>
    </font>
    <font>
      <sz val="11"/>
      <color rgb="FFFF000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theme="1"/>
      </top>
      <bottom style="medium">
        <color theme="1"/>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thin">
        <color indexed="64"/>
      </right>
      <top style="thin">
        <color indexed="64"/>
      </top>
      <bottom style="medium">
        <color theme="1"/>
      </bottom>
      <diagonal/>
    </border>
    <border>
      <left/>
      <right/>
      <top style="thin">
        <color indexed="64"/>
      </top>
      <bottom style="medium">
        <color theme="1"/>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diagonal/>
    </border>
    <border>
      <left/>
      <right/>
      <top style="medium">
        <color theme="1"/>
      </top>
      <bottom/>
      <diagonal/>
    </border>
    <border>
      <left style="thin">
        <color indexed="64"/>
      </left>
      <right style="thin">
        <color indexed="64"/>
      </right>
      <top style="medium">
        <color theme="1"/>
      </top>
      <bottom/>
      <diagonal/>
    </border>
    <border>
      <left/>
      <right style="thin">
        <color indexed="64"/>
      </right>
      <top style="medium">
        <color theme="1"/>
      </top>
      <bottom style="medium">
        <color theme="1"/>
      </bottom>
      <diagonal/>
    </border>
    <border>
      <left/>
      <right style="thin">
        <color indexed="64"/>
      </right>
      <top style="medium">
        <color theme="1"/>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4">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2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3" fillId="0" borderId="0"/>
    <xf numFmtId="0" fontId="22"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0"/>
    <xf numFmtId="0" fontId="4" fillId="0" borderId="0"/>
    <xf numFmtId="43" fontId="4" fillId="0" borderId="0" applyFont="0" applyFill="0" applyBorder="0" applyAlignment="0" applyProtection="0"/>
    <xf numFmtId="44" fontId="26" fillId="0" borderId="0" applyFont="0" applyFill="0" applyBorder="0" applyAlignment="0" applyProtection="0"/>
    <xf numFmtId="9" fontId="27" fillId="0" borderId="0" applyFont="0" applyFill="0" applyBorder="0" applyAlignment="0" applyProtection="0"/>
    <xf numFmtId="0" fontId="1" fillId="0" borderId="0"/>
  </cellStyleXfs>
  <cellXfs count="131">
    <xf numFmtId="0" fontId="0" fillId="0" borderId="0" xfId="0"/>
    <xf numFmtId="0" fontId="25" fillId="0" borderId="0" xfId="0" applyFont="1" applyFill="1" applyBorder="1" applyAlignment="1">
      <alignment vertical="top"/>
    </xf>
    <xf numFmtId="0" fontId="25" fillId="0" borderId="0" xfId="0" applyFont="1" applyAlignment="1">
      <alignment vertical="top"/>
    </xf>
    <xf numFmtId="9" fontId="25" fillId="0" borderId="0" xfId="0" applyNumberFormat="1" applyFont="1" applyBorder="1" applyAlignment="1">
      <alignment vertical="top"/>
    </xf>
    <xf numFmtId="0" fontId="25" fillId="0" borderId="0" xfId="0" applyFont="1" applyFill="1" applyBorder="1" applyAlignment="1">
      <alignment horizontal="center" vertical="top"/>
    </xf>
    <xf numFmtId="165" fontId="24" fillId="0" borderId="12" xfId="0" applyNumberFormat="1" applyFont="1" applyFill="1" applyBorder="1" applyAlignment="1">
      <alignment vertical="top"/>
    </xf>
    <xf numFmtId="0" fontId="25" fillId="0" borderId="0" xfId="0" applyFont="1" applyFill="1" applyAlignment="1">
      <alignment vertical="top"/>
    </xf>
    <xf numFmtId="0" fontId="24" fillId="24" borderId="11" xfId="0" applyFont="1" applyFill="1" applyBorder="1" applyAlignment="1">
      <alignment horizontal="center" vertical="top"/>
    </xf>
    <xf numFmtId="0" fontId="24" fillId="24" borderId="11" xfId="0" applyFont="1" applyFill="1" applyBorder="1" applyAlignment="1">
      <alignment vertical="top"/>
    </xf>
    <xf numFmtId="165" fontId="24" fillId="24" borderId="13" xfId="0" applyNumberFormat="1" applyFont="1" applyFill="1" applyBorder="1" applyAlignment="1">
      <alignment vertical="top"/>
    </xf>
    <xf numFmtId="0" fontId="25" fillId="0" borderId="0" xfId="0" applyFont="1" applyAlignment="1">
      <alignment horizontal="center" vertical="top"/>
    </xf>
    <xf numFmtId="0" fontId="24" fillId="0" borderId="0" xfId="0" applyFont="1" applyFill="1" applyBorder="1" applyAlignment="1">
      <alignment vertical="top"/>
    </xf>
    <xf numFmtId="0" fontId="25" fillId="0" borderId="17" xfId="0" applyFont="1" applyBorder="1" applyAlignment="1">
      <alignment vertical="top"/>
    </xf>
    <xf numFmtId="9" fontId="25" fillId="0" borderId="17" xfId="0" applyNumberFormat="1" applyFont="1" applyBorder="1" applyAlignment="1">
      <alignment vertical="top"/>
    </xf>
    <xf numFmtId="1" fontId="25" fillId="0" borderId="17" xfId="0" applyNumberFormat="1" applyFont="1" applyBorder="1" applyAlignment="1">
      <alignment vertical="top"/>
    </xf>
    <xf numFmtId="0" fontId="25" fillId="0" borderId="17" xfId="0" applyFont="1" applyBorder="1" applyAlignment="1">
      <alignment horizontal="center" vertical="top"/>
    </xf>
    <xf numFmtId="0" fontId="25" fillId="0" borderId="16" xfId="0" applyFont="1" applyBorder="1" applyAlignment="1">
      <alignment vertical="top"/>
    </xf>
    <xf numFmtId="1" fontId="25" fillId="0" borderId="12" xfId="0" applyNumberFormat="1" applyFont="1" applyFill="1" applyBorder="1" applyAlignment="1">
      <alignment vertical="top"/>
    </xf>
    <xf numFmtId="1" fontId="25" fillId="0" borderId="16" xfId="0" applyNumberFormat="1" applyFont="1" applyFill="1" applyBorder="1" applyAlignment="1">
      <alignment vertical="top"/>
    </xf>
    <xf numFmtId="1" fontId="24" fillId="24" borderId="13" xfId="0" applyNumberFormat="1" applyFont="1" applyFill="1" applyBorder="1" applyAlignment="1">
      <alignment vertical="top"/>
    </xf>
    <xf numFmtId="44" fontId="25" fillId="0" borderId="0" xfId="91" applyFont="1" applyFill="1" applyBorder="1" applyAlignment="1">
      <alignment vertical="top"/>
    </xf>
    <xf numFmtId="44" fontId="24" fillId="24" borderId="11" xfId="91" applyFont="1" applyFill="1" applyBorder="1" applyAlignment="1">
      <alignment vertical="top"/>
    </xf>
    <xf numFmtId="44" fontId="25" fillId="0" borderId="17" xfId="91" applyFont="1" applyBorder="1" applyAlignment="1">
      <alignment vertical="top"/>
    </xf>
    <xf numFmtId="44" fontId="25" fillId="0" borderId="0" xfId="91" applyFont="1" applyAlignment="1">
      <alignment vertical="top"/>
    </xf>
    <xf numFmtId="166" fontId="25" fillId="0" borderId="0" xfId="91" applyNumberFormat="1" applyFont="1" applyFill="1" applyBorder="1" applyAlignment="1">
      <alignment vertical="top"/>
    </xf>
    <xf numFmtId="166" fontId="24" fillId="24" borderId="11" xfId="91" applyNumberFormat="1" applyFont="1" applyFill="1" applyBorder="1" applyAlignment="1">
      <alignment vertical="top"/>
    </xf>
    <xf numFmtId="166" fontId="25" fillId="0" borderId="17" xfId="91" applyNumberFormat="1" applyFont="1" applyBorder="1" applyAlignment="1">
      <alignment vertical="top"/>
    </xf>
    <xf numFmtId="166" fontId="25" fillId="0" borderId="0" xfId="91" applyNumberFormat="1" applyFont="1" applyAlignment="1">
      <alignment vertical="top"/>
    </xf>
    <xf numFmtId="9" fontId="25" fillId="0" borderId="0" xfId="0" applyNumberFormat="1" applyFont="1" applyBorder="1" applyAlignment="1">
      <alignment vertical="center"/>
    </xf>
    <xf numFmtId="0" fontId="25" fillId="0" borderId="0" xfId="0" applyFont="1" applyFill="1" applyBorder="1" applyAlignment="1">
      <alignment horizontal="center" vertical="center"/>
    </xf>
    <xf numFmtId="1" fontId="25" fillId="0" borderId="12" xfId="0" applyNumberFormat="1" applyFont="1" applyFill="1" applyBorder="1" applyAlignment="1">
      <alignment horizontal="center"/>
    </xf>
    <xf numFmtId="0" fontId="25" fillId="0" borderId="0" xfId="0" applyFont="1" applyBorder="1"/>
    <xf numFmtId="41" fontId="25" fillId="0" borderId="0" xfId="0" applyNumberFormat="1" applyFont="1" applyFill="1" applyBorder="1" applyAlignment="1">
      <alignment horizontal="right" vertical="center"/>
    </xf>
    <xf numFmtId="166" fontId="25" fillId="0" borderId="0" xfId="0" applyNumberFormat="1" applyFont="1" applyBorder="1" applyAlignment="1">
      <alignment vertical="center"/>
    </xf>
    <xf numFmtId="165" fontId="25" fillId="0" borderId="0" xfId="0" applyNumberFormat="1" applyFont="1" applyBorder="1" applyAlignment="1">
      <alignment vertical="center"/>
    </xf>
    <xf numFmtId="0" fontId="25" fillId="0" borderId="12" xfId="0" applyFont="1" applyBorder="1"/>
    <xf numFmtId="166" fontId="25" fillId="0" borderId="0" xfId="91" applyNumberFormat="1" applyFont="1"/>
    <xf numFmtId="0" fontId="25" fillId="0" borderId="0" xfId="0" applyFont="1"/>
    <xf numFmtId="0" fontId="25" fillId="0" borderId="0" xfId="0" applyFont="1" applyFill="1" applyBorder="1" applyAlignment="1">
      <alignment horizontal="justify" vertical="center" wrapText="1"/>
    </xf>
    <xf numFmtId="37" fontId="25" fillId="0" borderId="0" xfId="0" applyNumberFormat="1" applyFont="1" applyFill="1" applyBorder="1" applyAlignment="1">
      <alignment horizontal="right" vertical="center"/>
    </xf>
    <xf numFmtId="0" fontId="24" fillId="0" borderId="0" xfId="0" applyFont="1" applyAlignment="1">
      <alignment wrapText="1"/>
    </xf>
    <xf numFmtId="37" fontId="25" fillId="0" borderId="0" xfId="0" applyNumberFormat="1" applyFont="1"/>
    <xf numFmtId="0" fontId="25" fillId="0" borderId="0" xfId="0" applyFont="1" applyBorder="1" applyAlignment="1">
      <alignment vertical="top" wrapText="1"/>
    </xf>
    <xf numFmtId="0" fontId="24" fillId="24" borderId="11" xfId="0" applyFont="1" applyFill="1" applyBorder="1" applyAlignment="1">
      <alignment vertical="top" wrapText="1"/>
    </xf>
    <xf numFmtId="0" fontId="24" fillId="0" borderId="0" xfId="0" applyFont="1" applyFill="1" applyBorder="1" applyAlignment="1">
      <alignment horizontal="justify" vertical="center" wrapText="1"/>
    </xf>
    <xf numFmtId="0" fontId="25" fillId="0" borderId="0" xfId="0" applyFont="1" applyAlignment="1">
      <alignment wrapText="1"/>
    </xf>
    <xf numFmtId="0" fontId="24" fillId="0" borderId="17" xfId="0" applyFont="1" applyBorder="1" applyAlignment="1">
      <alignment vertical="top" wrapText="1"/>
    </xf>
    <xf numFmtId="0" fontId="25" fillId="0" borderId="0" xfId="0" applyFont="1" applyAlignment="1">
      <alignment vertical="top" wrapText="1"/>
    </xf>
    <xf numFmtId="0" fontId="24" fillId="0" borderId="14" xfId="0" applyFont="1" applyFill="1" applyBorder="1" applyAlignment="1">
      <alignment vertical="top"/>
    </xf>
    <xf numFmtId="0" fontId="25" fillId="0" borderId="10" xfId="0" applyFont="1" applyFill="1" applyBorder="1" applyAlignment="1">
      <alignment vertical="top"/>
    </xf>
    <xf numFmtId="0" fontId="25" fillId="0" borderId="10" xfId="0" applyFont="1" applyFill="1" applyBorder="1" applyAlignment="1">
      <alignment vertical="top" wrapText="1"/>
    </xf>
    <xf numFmtId="164" fontId="25" fillId="0" borderId="10" xfId="0" applyNumberFormat="1" applyFont="1" applyFill="1" applyBorder="1" applyAlignment="1" applyProtection="1">
      <alignment vertical="top"/>
    </xf>
    <xf numFmtId="0" fontId="25" fillId="0" borderId="10" xfId="0" applyFont="1" applyFill="1" applyBorder="1" applyAlignment="1">
      <alignment horizontal="center" vertical="top"/>
    </xf>
    <xf numFmtId="166" fontId="25" fillId="0" borderId="10" xfId="91" applyNumberFormat="1" applyFont="1" applyFill="1" applyBorder="1" applyAlignment="1">
      <alignment vertical="top"/>
    </xf>
    <xf numFmtId="165" fontId="24" fillId="0" borderId="10" xfId="91" applyNumberFormat="1" applyFont="1" applyFill="1" applyBorder="1" applyAlignment="1">
      <alignment vertical="top"/>
    </xf>
    <xf numFmtId="42" fontId="24" fillId="0" borderId="15" xfId="0" applyNumberFormat="1" applyFont="1" applyFill="1" applyBorder="1" applyAlignment="1">
      <alignment vertical="top"/>
    </xf>
    <xf numFmtId="9" fontId="24" fillId="0" borderId="10" xfId="92" applyFont="1" applyFill="1" applyBorder="1" applyAlignment="1">
      <alignment horizontal="center" vertical="top"/>
    </xf>
    <xf numFmtId="0" fontId="24" fillId="0" borderId="18" xfId="0" applyFont="1" applyFill="1" applyBorder="1" applyAlignment="1">
      <alignment vertical="top"/>
    </xf>
    <xf numFmtId="0" fontId="25" fillId="0" borderId="19" xfId="0" applyFont="1" applyFill="1" applyBorder="1" applyAlignment="1">
      <alignment vertical="top"/>
    </xf>
    <xf numFmtId="0" fontId="25" fillId="0" borderId="19" xfId="0" applyFont="1" applyFill="1" applyBorder="1" applyAlignment="1">
      <alignment vertical="top" wrapText="1"/>
    </xf>
    <xf numFmtId="164" fontId="25" fillId="0" borderId="19" xfId="0" applyNumberFormat="1" applyFont="1" applyFill="1" applyBorder="1" applyAlignment="1" applyProtection="1">
      <alignment vertical="top"/>
    </xf>
    <xf numFmtId="0" fontId="25" fillId="0" borderId="19" xfId="0" applyFont="1" applyFill="1" applyBorder="1" applyAlignment="1">
      <alignment horizontal="center" vertical="top"/>
    </xf>
    <xf numFmtId="166" fontId="25" fillId="0" borderId="19" xfId="91" applyNumberFormat="1" applyFont="1" applyFill="1" applyBorder="1" applyAlignment="1">
      <alignment vertical="top"/>
    </xf>
    <xf numFmtId="165" fontId="24" fillId="0" borderId="19" xfId="91" applyNumberFormat="1" applyFont="1" applyFill="1" applyBorder="1" applyAlignment="1">
      <alignment vertical="top"/>
    </xf>
    <xf numFmtId="42" fontId="24" fillId="0" borderId="20" xfId="0" applyNumberFormat="1" applyFont="1" applyFill="1" applyBorder="1" applyAlignment="1">
      <alignment vertical="top"/>
    </xf>
    <xf numFmtId="0" fontId="24" fillId="0" borderId="21" xfId="0" applyFont="1" applyFill="1" applyBorder="1" applyAlignment="1">
      <alignment vertical="top"/>
    </xf>
    <xf numFmtId="0" fontId="25" fillId="0" borderId="22" xfId="0" applyFont="1" applyFill="1" applyBorder="1" applyAlignment="1">
      <alignment vertical="top"/>
    </xf>
    <xf numFmtId="0" fontId="25" fillId="0" borderId="22" xfId="0" applyFont="1" applyFill="1" applyBorder="1" applyAlignment="1">
      <alignment vertical="top" wrapText="1"/>
    </xf>
    <xf numFmtId="164" fontId="25" fillId="0" borderId="22" xfId="0" applyNumberFormat="1" applyFont="1" applyFill="1" applyBorder="1" applyAlignment="1" applyProtection="1">
      <alignment vertical="top"/>
    </xf>
    <xf numFmtId="0" fontId="25" fillId="0" borderId="22" xfId="0" applyFont="1" applyFill="1" applyBorder="1" applyAlignment="1">
      <alignment horizontal="center" vertical="top"/>
    </xf>
    <xf numFmtId="9" fontId="24" fillId="0" borderId="22" xfId="92" applyFont="1" applyFill="1" applyBorder="1" applyAlignment="1">
      <alignment horizontal="center" vertical="top"/>
    </xf>
    <xf numFmtId="165" fontId="24" fillId="0" borderId="22" xfId="91" applyNumberFormat="1" applyFont="1" applyFill="1" applyBorder="1" applyAlignment="1">
      <alignment vertical="top"/>
    </xf>
    <xf numFmtId="42" fontId="24" fillId="0" borderId="23" xfId="0" applyNumberFormat="1" applyFont="1" applyFill="1" applyBorder="1" applyAlignment="1">
      <alignment vertical="top"/>
    </xf>
    <xf numFmtId="0" fontId="24" fillId="0" borderId="14" xfId="0" applyFont="1" applyFill="1" applyBorder="1" applyAlignment="1">
      <alignment horizontal="left" vertical="top"/>
    </xf>
    <xf numFmtId="0" fontId="28" fillId="0" borderId="10" xfId="0" applyFont="1" applyFill="1" applyBorder="1" applyAlignment="1">
      <alignment vertical="top" wrapText="1"/>
    </xf>
    <xf numFmtId="164" fontId="25" fillId="0" borderId="10" xfId="0" applyNumberFormat="1" applyFont="1" applyFill="1" applyBorder="1" applyAlignment="1" applyProtection="1">
      <alignment horizontal="center" vertical="top"/>
    </xf>
    <xf numFmtId="42" fontId="24" fillId="0" borderId="10" xfId="0" applyNumberFormat="1" applyFont="1" applyFill="1" applyBorder="1" applyAlignment="1">
      <alignment vertical="top"/>
    </xf>
    <xf numFmtId="42" fontId="24" fillId="0" borderId="24" xfId="0" applyNumberFormat="1" applyFont="1" applyFill="1" applyBorder="1" applyAlignment="1">
      <alignment vertical="top"/>
    </xf>
    <xf numFmtId="0" fontId="24" fillId="0" borderId="14" xfId="0" applyFont="1" applyFill="1" applyBorder="1" applyAlignment="1">
      <alignment horizontal="centerContinuous" vertical="center"/>
    </xf>
    <xf numFmtId="0" fontId="25" fillId="0" borderId="10" xfId="0" applyFont="1" applyBorder="1" applyAlignment="1">
      <alignment horizontal="centerContinuous" vertical="center"/>
    </xf>
    <xf numFmtId="0" fontId="25" fillId="0" borderId="10" xfId="0" applyFont="1" applyBorder="1" applyAlignment="1">
      <alignment horizontal="centerContinuous" vertical="center" wrapText="1"/>
    </xf>
    <xf numFmtId="0" fontId="25" fillId="0" borderId="10" xfId="0" applyFont="1" applyBorder="1" applyAlignment="1">
      <alignment horizontal="center" vertical="center"/>
    </xf>
    <xf numFmtId="0" fontId="25" fillId="0" borderId="24" xfId="0" applyFont="1" applyBorder="1" applyAlignment="1">
      <alignment horizontal="centerContinuous" vertical="center"/>
    </xf>
    <xf numFmtId="0" fontId="25" fillId="0" borderId="18" xfId="0" applyFont="1" applyFill="1" applyBorder="1" applyAlignment="1">
      <alignment horizontal="left" vertical="top"/>
    </xf>
    <xf numFmtId="0" fontId="25" fillId="0" borderId="19" xfId="0" applyFont="1" applyBorder="1" applyAlignment="1"/>
    <xf numFmtId="0" fontId="25" fillId="0" borderId="19" xfId="0" applyFont="1" applyBorder="1" applyAlignment="1">
      <alignment wrapText="1"/>
    </xf>
    <xf numFmtId="0" fontId="25" fillId="0" borderId="19" xfId="0" applyFont="1" applyBorder="1" applyAlignment="1">
      <alignment horizontal="center"/>
    </xf>
    <xf numFmtId="0" fontId="25" fillId="0" borderId="25" xfId="0" applyFont="1" applyBorder="1" applyAlignment="1"/>
    <xf numFmtId="0" fontId="25" fillId="0" borderId="26" xfId="0" applyFont="1" applyBorder="1" applyAlignment="1"/>
    <xf numFmtId="0" fontId="25" fillId="0" borderId="26" xfId="0" applyFont="1" applyBorder="1" applyAlignment="1">
      <alignment wrapText="1"/>
    </xf>
    <xf numFmtId="0" fontId="25" fillId="0" borderId="26" xfId="0" applyFont="1" applyBorder="1" applyAlignment="1">
      <alignment horizontal="center"/>
    </xf>
    <xf numFmtId="0" fontId="24" fillId="0" borderId="0" xfId="0" applyFont="1"/>
    <xf numFmtId="37" fontId="25" fillId="0" borderId="0" xfId="0" applyNumberFormat="1" applyFont="1" applyBorder="1" applyAlignment="1">
      <alignment vertical="top"/>
    </xf>
    <xf numFmtId="37" fontId="24" fillId="24" borderId="11" xfId="0" applyNumberFormat="1" applyFont="1" applyFill="1" applyBorder="1" applyAlignment="1">
      <alignment vertical="top"/>
    </xf>
    <xf numFmtId="37" fontId="25" fillId="0" borderId="17" xfId="0" applyNumberFormat="1" applyFont="1" applyBorder="1" applyAlignment="1">
      <alignment vertical="top"/>
    </xf>
    <xf numFmtId="37" fontId="25" fillId="0" borderId="10" xfId="0" applyNumberFormat="1" applyFont="1" applyFill="1" applyBorder="1" applyAlignment="1" applyProtection="1">
      <alignment vertical="top"/>
    </xf>
    <xf numFmtId="37" fontId="25" fillId="0" borderId="19" xfId="0" applyNumberFormat="1" applyFont="1" applyFill="1" applyBorder="1" applyAlignment="1" applyProtection="1">
      <alignment vertical="top"/>
    </xf>
    <xf numFmtId="37" fontId="25" fillId="0" borderId="22" xfId="0" applyNumberFormat="1" applyFont="1" applyFill="1" applyBorder="1" applyAlignment="1" applyProtection="1">
      <alignment vertical="top"/>
    </xf>
    <xf numFmtId="37" fontId="25" fillId="0" borderId="10" xfId="0" applyNumberFormat="1" applyFont="1" applyFill="1" applyBorder="1" applyAlignment="1" applyProtection="1">
      <alignment horizontal="center" vertical="top"/>
    </xf>
    <xf numFmtId="37" fontId="25" fillId="0" borderId="10" xfId="0" applyNumberFormat="1" applyFont="1" applyBorder="1" applyAlignment="1">
      <alignment horizontal="centerContinuous" vertical="center"/>
    </xf>
    <xf numFmtId="37" fontId="25" fillId="0" borderId="19" xfId="0" applyNumberFormat="1" applyFont="1" applyBorder="1" applyAlignment="1"/>
    <xf numFmtId="37" fontId="25" fillId="0" borderId="26" xfId="0" applyNumberFormat="1" applyFont="1" applyBorder="1" applyAlignment="1"/>
    <xf numFmtId="37" fontId="25" fillId="0" borderId="0" xfId="0" applyNumberFormat="1" applyFont="1" applyAlignment="1">
      <alignment vertical="top"/>
    </xf>
    <xf numFmtId="0" fontId="0" fillId="0" borderId="0" xfId="0" applyAlignment="1">
      <alignment wrapText="1"/>
    </xf>
    <xf numFmtId="167" fontId="25" fillId="0" borderId="0" xfId="0" applyNumberFormat="1" applyFont="1"/>
    <xf numFmtId="39" fontId="25" fillId="0" borderId="0" xfId="0" applyNumberFormat="1" applyFont="1"/>
    <xf numFmtId="168" fontId="25" fillId="0" borderId="0" xfId="0" applyNumberFormat="1" applyFont="1" applyFill="1" applyBorder="1" applyAlignment="1">
      <alignment horizontal="right" vertical="center"/>
    </xf>
    <xf numFmtId="0" fontId="24" fillId="0" borderId="0" xfId="0" applyFont="1" applyAlignment="1">
      <alignment vertical="top"/>
    </xf>
    <xf numFmtId="0" fontId="31" fillId="0" borderId="0" xfId="0" applyFont="1" applyAlignment="1">
      <alignment vertical="top"/>
    </xf>
    <xf numFmtId="9" fontId="25" fillId="0" borderId="0" xfId="0" applyNumberFormat="1" applyFont="1" applyAlignment="1">
      <alignment vertical="top"/>
    </xf>
    <xf numFmtId="165" fontId="24" fillId="0" borderId="12" xfId="0" applyNumberFormat="1" applyFont="1" applyBorder="1" applyAlignment="1">
      <alignment vertical="top"/>
    </xf>
    <xf numFmtId="9" fontId="25" fillId="0" borderId="0" xfId="0" applyNumberFormat="1" applyFont="1" applyAlignment="1">
      <alignment vertical="center"/>
    </xf>
    <xf numFmtId="41" fontId="25" fillId="0" borderId="0" xfId="0" applyNumberFormat="1" applyFont="1" applyAlignment="1">
      <alignment horizontal="right" vertical="center"/>
    </xf>
    <xf numFmtId="0" fontId="25" fillId="0" borderId="0" xfId="0" applyFont="1" applyAlignment="1">
      <alignment horizontal="center" vertical="center"/>
    </xf>
    <xf numFmtId="166" fontId="25" fillId="0" borderId="0" xfId="0" applyNumberFormat="1" applyFont="1" applyAlignment="1">
      <alignment vertical="center"/>
    </xf>
    <xf numFmtId="165" fontId="25" fillId="0" borderId="0" xfId="0" applyNumberFormat="1" applyFont="1" applyAlignment="1">
      <alignment vertical="center"/>
    </xf>
    <xf numFmtId="37" fontId="25" fillId="0" borderId="0" xfId="0" applyNumberFormat="1" applyFont="1" applyAlignment="1">
      <alignment vertical="center"/>
    </xf>
    <xf numFmtId="167" fontId="25" fillId="0" borderId="0" xfId="0" applyNumberFormat="1" applyFont="1" applyFill="1" applyBorder="1" applyAlignment="1">
      <alignment horizontal="right" vertical="center"/>
    </xf>
    <xf numFmtId="37" fontId="32" fillId="0" borderId="0" xfId="0" applyNumberFormat="1" applyFont="1"/>
    <xf numFmtId="169" fontId="25" fillId="0" borderId="0" xfId="0" applyNumberFormat="1" applyFont="1" applyFill="1" applyBorder="1" applyAlignment="1">
      <alignment horizontal="right" vertical="center"/>
    </xf>
    <xf numFmtId="0" fontId="24" fillId="24" borderId="28" xfId="0" applyFont="1" applyFill="1" applyBorder="1" applyAlignment="1">
      <alignment horizontal="center" vertical="center"/>
    </xf>
    <xf numFmtId="0" fontId="24" fillId="24" borderId="29" xfId="0" applyFont="1" applyFill="1" applyBorder="1" applyAlignment="1">
      <alignment horizontal="center" vertical="center"/>
    </xf>
    <xf numFmtId="0" fontId="24" fillId="24" borderId="27" xfId="0" applyFont="1" applyFill="1" applyBorder="1" applyAlignment="1">
      <alignment horizontal="center" vertical="center" wrapText="1"/>
    </xf>
    <xf numFmtId="37" fontId="24" fillId="24" borderId="27" xfId="0" applyNumberFormat="1" applyFont="1" applyFill="1" applyBorder="1" applyAlignment="1">
      <alignment horizontal="center" vertical="center"/>
    </xf>
    <xf numFmtId="166" fontId="24" fillId="24" borderId="27" xfId="91" applyNumberFormat="1" applyFont="1" applyFill="1" applyBorder="1" applyAlignment="1">
      <alignment horizontal="center" vertical="center" wrapText="1"/>
    </xf>
    <xf numFmtId="44" fontId="24" fillId="24" borderId="30" xfId="91" applyFont="1" applyFill="1" applyBorder="1" applyAlignment="1">
      <alignment horizontal="center" vertical="center" wrapText="1"/>
    </xf>
    <xf numFmtId="0" fontId="24" fillId="24" borderId="31" xfId="0" applyFont="1" applyFill="1" applyBorder="1" applyAlignment="1">
      <alignment horizontal="center" vertical="center" wrapText="1"/>
    </xf>
    <xf numFmtId="0" fontId="33" fillId="0" borderId="0" xfId="0" applyFont="1"/>
    <xf numFmtId="0" fontId="29" fillId="0" borderId="0" xfId="0" applyFont="1" applyAlignment="1">
      <alignment horizontal="left" vertical="center"/>
    </xf>
    <xf numFmtId="0" fontId="29" fillId="0" borderId="0" xfId="0" applyFont="1" applyAlignment="1">
      <alignment horizontal="left" wrapText="1"/>
    </xf>
    <xf numFmtId="0" fontId="30" fillId="0" borderId="0" xfId="0" applyFont="1" applyAlignment="1">
      <alignment horizontal="left"/>
    </xf>
  </cellXfs>
  <cellStyles count="94">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Bad 2" xfId="49" xr:uid="{00000000-0005-0000-0000-000030000000}"/>
    <cellStyle name="Bad 3" xfId="50" xr:uid="{00000000-0005-0000-0000-000031000000}"/>
    <cellStyle name="Calculation 2" xfId="51" xr:uid="{00000000-0005-0000-0000-000032000000}"/>
    <cellStyle name="Calculation 3" xfId="52" xr:uid="{00000000-0005-0000-0000-000033000000}"/>
    <cellStyle name="Check Cell 2" xfId="53" xr:uid="{00000000-0005-0000-0000-000034000000}"/>
    <cellStyle name="Check Cell 3" xfId="54" xr:uid="{00000000-0005-0000-0000-000035000000}"/>
    <cellStyle name="Comma 2" xfId="55" xr:uid="{00000000-0005-0000-0000-000036000000}"/>
    <cellStyle name="Comma 2 2" xfId="90" xr:uid="{00000000-0005-0000-0000-000037000000}"/>
    <cellStyle name="Currency" xfId="91" builtinId="4"/>
    <cellStyle name="Explanatory Text 2" xfId="56" xr:uid="{00000000-0005-0000-0000-000039000000}"/>
    <cellStyle name="Explanatory Text 3" xfId="57" xr:uid="{00000000-0005-0000-0000-00003A000000}"/>
    <cellStyle name="Good 2" xfId="58" xr:uid="{00000000-0005-0000-0000-00003B000000}"/>
    <cellStyle name="Good 3" xfId="59" xr:uid="{00000000-0005-0000-0000-00003C000000}"/>
    <cellStyle name="Heading 1 2" xfId="60" xr:uid="{00000000-0005-0000-0000-00003D000000}"/>
    <cellStyle name="Heading 1 3" xfId="61" xr:uid="{00000000-0005-0000-0000-00003E000000}"/>
    <cellStyle name="Heading 2 2" xfId="62" xr:uid="{00000000-0005-0000-0000-00003F000000}"/>
    <cellStyle name="Heading 2 3" xfId="63" xr:uid="{00000000-0005-0000-0000-000040000000}"/>
    <cellStyle name="Heading 3 2" xfId="64" xr:uid="{00000000-0005-0000-0000-000041000000}"/>
    <cellStyle name="Heading 3 3" xfId="65" xr:uid="{00000000-0005-0000-0000-000042000000}"/>
    <cellStyle name="Heading 4 2" xfId="66" xr:uid="{00000000-0005-0000-0000-000043000000}"/>
    <cellStyle name="Heading 4 3" xfId="67" xr:uid="{00000000-0005-0000-0000-000044000000}"/>
    <cellStyle name="Input 2" xfId="68" xr:uid="{00000000-0005-0000-0000-000045000000}"/>
    <cellStyle name="Input 3" xfId="69" xr:uid="{00000000-0005-0000-0000-000046000000}"/>
    <cellStyle name="Linked Cell 2" xfId="70" xr:uid="{00000000-0005-0000-0000-000047000000}"/>
    <cellStyle name="Linked Cell 3" xfId="71" xr:uid="{00000000-0005-0000-0000-000048000000}"/>
    <cellStyle name="Neutral 2" xfId="72" xr:uid="{00000000-0005-0000-0000-000049000000}"/>
    <cellStyle name="Neutral 3" xfId="73" xr:uid="{00000000-0005-0000-0000-00004A000000}"/>
    <cellStyle name="Normal" xfId="0" builtinId="0"/>
    <cellStyle name="Normal 2" xfId="89" xr:uid="{00000000-0005-0000-0000-00004C000000}"/>
    <cellStyle name="Normal 2 2" xfId="74" xr:uid="{00000000-0005-0000-0000-00004D000000}"/>
    <cellStyle name="Normal 2 3" xfId="75" xr:uid="{00000000-0005-0000-0000-00004E000000}"/>
    <cellStyle name="Normal 3" xfId="76" xr:uid="{00000000-0005-0000-0000-00004F000000}"/>
    <cellStyle name="Normal 4" xfId="88" xr:uid="{00000000-0005-0000-0000-000050000000}"/>
    <cellStyle name="Normal 5" xfId="93" xr:uid="{00000000-0005-0000-0000-000051000000}"/>
    <cellStyle name="Normal 6" xfId="77" xr:uid="{00000000-0005-0000-0000-000052000000}"/>
    <cellStyle name="Note 2" xfId="78" xr:uid="{00000000-0005-0000-0000-000053000000}"/>
    <cellStyle name="Note 3" xfId="79" xr:uid="{00000000-0005-0000-0000-000054000000}"/>
    <cellStyle name="Output 2" xfId="80" xr:uid="{00000000-0005-0000-0000-000055000000}"/>
    <cellStyle name="Output 3" xfId="81" xr:uid="{00000000-0005-0000-0000-000056000000}"/>
    <cellStyle name="Percent" xfId="92" builtinId="5"/>
    <cellStyle name="Title 2" xfId="82" xr:uid="{00000000-0005-0000-0000-000058000000}"/>
    <cellStyle name="Title 3" xfId="83" xr:uid="{00000000-0005-0000-0000-000059000000}"/>
    <cellStyle name="Total 2" xfId="84" xr:uid="{00000000-0005-0000-0000-00005A000000}"/>
    <cellStyle name="Total 3" xfId="85" xr:uid="{00000000-0005-0000-0000-00005B000000}"/>
    <cellStyle name="Warning Text 2" xfId="86" xr:uid="{00000000-0005-0000-0000-00005C000000}"/>
    <cellStyle name="Warning Text 3" xfId="87" xr:uid="{00000000-0005-0000-0000-00005D000000}"/>
  </cellStyles>
  <dxfs count="0"/>
  <tableStyles count="0" defaultTableStyle="TableStyleMedium9" defaultPivotStyle="PivotStyleLight16"/>
  <colors>
    <mruColors>
      <color rgb="FFD4F5FA"/>
      <color rgb="FF48B8E0"/>
      <color rgb="FFFFFFFF"/>
      <color rgb="FF6DD9FF"/>
      <color rgb="FF2DC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FBB-422C-82D2-334952C77813}"/>
            </c:ext>
          </c:extLst>
        </c:ser>
        <c:dLbls>
          <c:showLegendKey val="0"/>
          <c:showVal val="0"/>
          <c:showCatName val="0"/>
          <c:showSerName val="0"/>
          <c:showPercent val="0"/>
          <c:showBubbleSize val="0"/>
        </c:dLbls>
        <c:gapWidth val="150"/>
        <c:axId val="-1324417872"/>
        <c:axId val="-1324417328"/>
      </c:barChart>
      <c:catAx>
        <c:axId val="-1324417872"/>
        <c:scaling>
          <c:orientation val="minMax"/>
        </c:scaling>
        <c:delete val="0"/>
        <c:axPos val="b"/>
        <c:numFmt formatCode="General" sourceLinked="1"/>
        <c:majorTickMark val="none"/>
        <c:minorTickMark val="none"/>
        <c:tickLblPos val="nextTo"/>
        <c:txPr>
          <a:bodyPr rot="-2700000" vert="horz"/>
          <a:lstStyle/>
          <a:p>
            <a:pPr>
              <a:defRPr sz="800" b="1" i="0" u="none" strike="noStrike" baseline="0">
                <a:solidFill>
                  <a:srgbClr val="000000"/>
                </a:solidFill>
                <a:latin typeface="Verdana"/>
                <a:ea typeface="Verdana"/>
                <a:cs typeface="Verdana"/>
              </a:defRPr>
            </a:pPr>
            <a:endParaRPr lang="en-US"/>
          </a:p>
        </c:txPr>
        <c:crossAx val="-1324417328"/>
        <c:crosses val="autoZero"/>
        <c:auto val="1"/>
        <c:lblAlgn val="ctr"/>
        <c:lblOffset val="100"/>
        <c:noMultiLvlLbl val="0"/>
      </c:catAx>
      <c:valAx>
        <c:axId val="-1324417328"/>
        <c:scaling>
          <c:orientation val="minMax"/>
        </c:scaling>
        <c:delete val="0"/>
        <c:axPos val="l"/>
        <c:majorGridlines/>
        <c:numFmt formatCode="General" sourceLinked="1"/>
        <c:majorTickMark val="none"/>
        <c:minorTickMark val="none"/>
        <c:tickLblPos val="nextTo"/>
        <c:txPr>
          <a:bodyPr rot="0" vert="horz"/>
          <a:lstStyle/>
          <a:p>
            <a:pPr>
              <a:defRPr sz="800" b="1" i="0" u="none" strike="noStrike" baseline="0">
                <a:solidFill>
                  <a:srgbClr val="000000"/>
                </a:solidFill>
                <a:latin typeface="Verdana"/>
                <a:ea typeface="Verdana"/>
                <a:cs typeface="Verdana"/>
              </a:defRPr>
            </a:pPr>
            <a:endParaRPr lang="en-US"/>
          </a:p>
        </c:txPr>
        <c:crossAx val="-132441787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41"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8225" cy="628650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2"/>
  <sheetViews>
    <sheetView tabSelected="1" view="pageBreakPreview" zoomScale="85" zoomScaleSheetLayoutView="85" workbookViewId="0">
      <selection activeCell="C13" sqref="C13"/>
    </sheetView>
  </sheetViews>
  <sheetFormatPr defaultRowHeight="15" x14ac:dyDescent="0.2"/>
  <cols>
    <col min="1" max="1" width="4.44140625" style="2" customWidth="1"/>
    <col min="2" max="2" width="10.109375" style="2" customWidth="1"/>
    <col min="3" max="3" width="61" style="47" customWidth="1"/>
    <col min="4" max="4" width="10.109375" style="102" bestFit="1" customWidth="1"/>
    <col min="5" max="5" width="8.5546875" style="2" customWidth="1"/>
    <col min="6" max="6" width="9.33203125" style="2" customWidth="1"/>
    <col min="7" max="7" width="11.21875" style="10" bestFit="1" customWidth="1"/>
    <col min="8" max="9" width="11.21875" style="10" customWidth="1"/>
    <col min="10" max="10" width="10.44140625" style="27" customWidth="1"/>
    <col min="11" max="11" width="13.77734375" style="23" customWidth="1"/>
    <col min="12" max="12" width="11.77734375" style="2" customWidth="1"/>
    <col min="13" max="16384" width="8.88671875" style="2"/>
  </cols>
  <sheetData>
    <row r="1" spans="1:12" ht="18.75" x14ac:dyDescent="0.3">
      <c r="A1" s="130"/>
      <c r="B1" s="130"/>
      <c r="C1" s="130"/>
      <c r="D1" s="41"/>
      <c r="E1" s="37"/>
      <c r="F1" s="129" t="s">
        <v>114</v>
      </c>
      <c r="G1" s="129"/>
      <c r="H1" s="129"/>
      <c r="I1" s="129"/>
      <c r="J1" s="129"/>
      <c r="K1" s="129"/>
      <c r="L1" s="129"/>
    </row>
    <row r="2" spans="1:12" ht="15" customHeight="1" x14ac:dyDescent="0.3">
      <c r="A2" s="130"/>
      <c r="B2" s="130"/>
      <c r="C2" s="130"/>
      <c r="D2" s="41"/>
      <c r="E2" s="37"/>
      <c r="F2" s="128" t="s">
        <v>115</v>
      </c>
      <c r="G2" s="128"/>
      <c r="H2" s="128"/>
      <c r="I2" s="128"/>
      <c r="J2" s="128"/>
      <c r="K2" s="128"/>
      <c r="L2" s="128"/>
    </row>
    <row r="3" spans="1:12" ht="16.5" thickBot="1" x14ac:dyDescent="0.3">
      <c r="A3"/>
      <c r="B3"/>
      <c r="C3" s="103"/>
      <c r="D3" s="41"/>
      <c r="E3" s="37"/>
      <c r="F3" s="128" t="s">
        <v>206</v>
      </c>
      <c r="G3" s="128"/>
      <c r="H3" s="128"/>
      <c r="I3" s="128"/>
      <c r="J3" s="128"/>
      <c r="K3" s="128"/>
      <c r="L3" s="128"/>
    </row>
    <row r="4" spans="1:12" ht="41.25" customHeight="1" thickBot="1" x14ac:dyDescent="0.25">
      <c r="A4" s="120" t="s">
        <v>2</v>
      </c>
      <c r="B4" s="121" t="s">
        <v>11</v>
      </c>
      <c r="C4" s="122" t="s">
        <v>0</v>
      </c>
      <c r="D4" s="123" t="s">
        <v>3</v>
      </c>
      <c r="E4" s="122" t="s">
        <v>4</v>
      </c>
      <c r="F4" s="122" t="s">
        <v>5</v>
      </c>
      <c r="G4" s="122" t="s">
        <v>6</v>
      </c>
      <c r="H4" s="122" t="s">
        <v>51</v>
      </c>
      <c r="I4" s="122" t="s">
        <v>49</v>
      </c>
      <c r="J4" s="124" t="s">
        <v>48</v>
      </c>
      <c r="K4" s="125" t="s">
        <v>7</v>
      </c>
      <c r="L4" s="126" t="s">
        <v>8</v>
      </c>
    </row>
    <row r="5" spans="1:12" s="6" customFormat="1" ht="15.75" thickBot="1" x14ac:dyDescent="0.25">
      <c r="A5" s="17"/>
      <c r="B5" s="11"/>
      <c r="C5" s="42"/>
      <c r="D5" s="92"/>
      <c r="E5" s="3"/>
      <c r="F5" s="1"/>
      <c r="G5" s="4"/>
      <c r="H5" s="4"/>
      <c r="I5" s="4"/>
      <c r="J5" s="24"/>
      <c r="K5" s="20"/>
      <c r="L5" s="5"/>
    </row>
    <row r="6" spans="1:12" ht="15.75" thickBot="1" x14ac:dyDescent="0.25">
      <c r="A6" s="19" t="str">
        <f>IF(F6&lt;&gt;"",1+MAX(#REF!),"")</f>
        <v/>
      </c>
      <c r="B6" s="7" t="s">
        <v>32</v>
      </c>
      <c r="C6" s="43" t="s">
        <v>12</v>
      </c>
      <c r="D6" s="93"/>
      <c r="E6" s="8"/>
      <c r="F6" s="8"/>
      <c r="G6" s="7"/>
      <c r="H6" s="7"/>
      <c r="I6" s="7"/>
      <c r="J6" s="25"/>
      <c r="K6" s="21"/>
      <c r="L6" s="9">
        <f>SUM(K8:K25)</f>
        <v>0</v>
      </c>
    </row>
    <row r="7" spans="1:12" s="6" customFormat="1" x14ac:dyDescent="0.2">
      <c r="A7" s="17"/>
      <c r="B7" s="11"/>
      <c r="C7" s="42"/>
      <c r="D7" s="92"/>
      <c r="E7" s="3"/>
      <c r="F7" s="1"/>
      <c r="G7" s="4"/>
      <c r="H7" s="4"/>
      <c r="I7" s="4"/>
      <c r="J7" s="24"/>
      <c r="K7" s="20"/>
      <c r="L7" s="5"/>
    </row>
    <row r="8" spans="1:12" s="37" customFormat="1" x14ac:dyDescent="0.25">
      <c r="A8" s="30">
        <f>IF(F8&lt;&gt;"",1+MAX($A$6:A7),"")</f>
        <v>1</v>
      </c>
      <c r="B8" s="31"/>
      <c r="C8" s="44" t="s">
        <v>14</v>
      </c>
      <c r="D8" s="39">
        <v>1</v>
      </c>
      <c r="E8" s="28">
        <v>0</v>
      </c>
      <c r="F8" s="32">
        <f>D8*(1+E8)</f>
        <v>1</v>
      </c>
      <c r="G8" s="29" t="s">
        <v>13</v>
      </c>
      <c r="H8" s="29"/>
      <c r="I8" s="29"/>
      <c r="J8" s="33"/>
      <c r="K8" s="34">
        <f t="shared" ref="K8:K17" si="0">J8*F8</f>
        <v>0</v>
      </c>
      <c r="L8" s="35"/>
    </row>
    <row r="9" spans="1:12" s="37" customFormat="1" x14ac:dyDescent="0.25">
      <c r="A9" s="30">
        <f>IF(F9&lt;&gt;"",1+MAX($A$6:A8),"")</f>
        <v>2</v>
      </c>
      <c r="B9" s="31"/>
      <c r="C9" s="44" t="s">
        <v>15</v>
      </c>
      <c r="D9" s="39">
        <v>1</v>
      </c>
      <c r="E9" s="28">
        <v>0</v>
      </c>
      <c r="F9" s="32">
        <f t="shared" ref="F9:F23" si="1">D9*(1+E9)</f>
        <v>1</v>
      </c>
      <c r="G9" s="29" t="s">
        <v>13</v>
      </c>
      <c r="H9" s="29"/>
      <c r="I9" s="29"/>
      <c r="J9" s="33"/>
      <c r="K9" s="34">
        <f t="shared" si="0"/>
        <v>0</v>
      </c>
      <c r="L9" s="35"/>
    </row>
    <row r="10" spans="1:12" s="37" customFormat="1" x14ac:dyDescent="0.25">
      <c r="A10" s="30">
        <f>IF(F10&lt;&gt;"",1+MAX($A$6:A9),"")</f>
        <v>3</v>
      </c>
      <c r="B10" s="31"/>
      <c r="C10" s="44" t="s">
        <v>16</v>
      </c>
      <c r="D10" s="39">
        <v>1</v>
      </c>
      <c r="E10" s="28">
        <v>0</v>
      </c>
      <c r="F10" s="32">
        <f t="shared" si="1"/>
        <v>1</v>
      </c>
      <c r="G10" s="29" t="s">
        <v>13</v>
      </c>
      <c r="H10" s="29"/>
      <c r="I10" s="29"/>
      <c r="J10" s="33"/>
      <c r="K10" s="34">
        <f t="shared" si="0"/>
        <v>0</v>
      </c>
      <c r="L10" s="35"/>
    </row>
    <row r="11" spans="1:12" s="37" customFormat="1" x14ac:dyDescent="0.25">
      <c r="A11" s="30">
        <f>IF(F11&lt;&gt;"",1+MAX($A$6:A10),"")</f>
        <v>4</v>
      </c>
      <c r="B11" s="31"/>
      <c r="C11" s="44" t="s">
        <v>17</v>
      </c>
      <c r="D11" s="39">
        <v>1</v>
      </c>
      <c r="E11" s="28">
        <v>0</v>
      </c>
      <c r="F11" s="32">
        <f t="shared" si="1"/>
        <v>1</v>
      </c>
      <c r="G11" s="29" t="s">
        <v>13</v>
      </c>
      <c r="H11" s="29"/>
      <c r="I11" s="29"/>
      <c r="J11" s="33"/>
      <c r="K11" s="34">
        <f t="shared" si="0"/>
        <v>0</v>
      </c>
      <c r="L11" s="35"/>
    </row>
    <row r="12" spans="1:12" s="37" customFormat="1" x14ac:dyDescent="0.25">
      <c r="A12" s="30">
        <f>IF(F12&lt;&gt;"",1+MAX($A$6:A11),"")</f>
        <v>5</v>
      </c>
      <c r="B12" s="31"/>
      <c r="C12" s="44" t="s">
        <v>18</v>
      </c>
      <c r="D12" s="39">
        <v>1</v>
      </c>
      <c r="E12" s="28">
        <v>0</v>
      </c>
      <c r="F12" s="32">
        <f t="shared" si="1"/>
        <v>1</v>
      </c>
      <c r="G12" s="29" t="s">
        <v>13</v>
      </c>
      <c r="H12" s="29"/>
      <c r="I12" s="29"/>
      <c r="J12" s="33"/>
      <c r="K12" s="34">
        <f t="shared" si="0"/>
        <v>0</v>
      </c>
      <c r="L12" s="35"/>
    </row>
    <row r="13" spans="1:12" s="37" customFormat="1" x14ac:dyDescent="0.25">
      <c r="A13" s="30">
        <f>IF(F13&lt;&gt;"",1+MAX($A$6:A12),"")</f>
        <v>6</v>
      </c>
      <c r="B13" s="31"/>
      <c r="C13" s="44" t="s">
        <v>19</v>
      </c>
      <c r="D13" s="39">
        <v>1</v>
      </c>
      <c r="E13" s="28">
        <v>0</v>
      </c>
      <c r="F13" s="32">
        <f t="shared" si="1"/>
        <v>1</v>
      </c>
      <c r="G13" s="29" t="s">
        <v>13</v>
      </c>
      <c r="H13" s="29"/>
      <c r="I13" s="29"/>
      <c r="J13" s="33"/>
      <c r="K13" s="34">
        <f t="shared" si="0"/>
        <v>0</v>
      </c>
      <c r="L13" s="35"/>
    </row>
    <row r="14" spans="1:12" s="37" customFormat="1" x14ac:dyDescent="0.25">
      <c r="A14" s="30">
        <f>IF(F14&lt;&gt;"",1+MAX($A$6:A13),"")</f>
        <v>7</v>
      </c>
      <c r="B14" s="31"/>
      <c r="C14" s="44" t="s">
        <v>20</v>
      </c>
      <c r="D14" s="39">
        <v>1</v>
      </c>
      <c r="E14" s="28">
        <v>0</v>
      </c>
      <c r="F14" s="32">
        <f t="shared" si="1"/>
        <v>1</v>
      </c>
      <c r="G14" s="29" t="s">
        <v>13</v>
      </c>
      <c r="H14" s="29"/>
      <c r="I14" s="29"/>
      <c r="J14" s="33"/>
      <c r="K14" s="34">
        <f t="shared" si="0"/>
        <v>0</v>
      </c>
      <c r="L14" s="35"/>
    </row>
    <row r="15" spans="1:12" s="37" customFormat="1" x14ac:dyDescent="0.25">
      <c r="A15" s="30">
        <f>IF(F15&lt;&gt;"",1+MAX($A$6:A14),"")</f>
        <v>8</v>
      </c>
      <c r="B15" s="31"/>
      <c r="C15" s="44" t="s">
        <v>21</v>
      </c>
      <c r="D15" s="39">
        <v>1</v>
      </c>
      <c r="E15" s="28">
        <v>0</v>
      </c>
      <c r="F15" s="32">
        <f t="shared" si="1"/>
        <v>1</v>
      </c>
      <c r="G15" s="29" t="s">
        <v>13</v>
      </c>
      <c r="H15" s="29"/>
      <c r="I15" s="29"/>
      <c r="J15" s="33"/>
      <c r="K15" s="34">
        <f t="shared" si="0"/>
        <v>0</v>
      </c>
      <c r="L15" s="35"/>
    </row>
    <row r="16" spans="1:12" s="37" customFormat="1" x14ac:dyDescent="0.25">
      <c r="A16" s="30">
        <f>IF(F16&lt;&gt;"",1+MAX($A$6:A15),"")</f>
        <v>9</v>
      </c>
      <c r="B16" s="31"/>
      <c r="C16" s="44" t="s">
        <v>22</v>
      </c>
      <c r="D16" s="39">
        <v>1</v>
      </c>
      <c r="E16" s="28">
        <v>0</v>
      </c>
      <c r="F16" s="32">
        <f t="shared" si="1"/>
        <v>1</v>
      </c>
      <c r="G16" s="29" t="s">
        <v>13</v>
      </c>
      <c r="H16" s="29"/>
      <c r="I16" s="29"/>
      <c r="J16" s="33"/>
      <c r="K16" s="34">
        <f t="shared" si="0"/>
        <v>0</v>
      </c>
      <c r="L16" s="35"/>
    </row>
    <row r="17" spans="1:12" s="37" customFormat="1" x14ac:dyDescent="0.25">
      <c r="A17" s="30">
        <f>IF(F17&lt;&gt;"",1+MAX($A$6:A16),"")</f>
        <v>10</v>
      </c>
      <c r="B17" s="31"/>
      <c r="C17" s="44" t="s">
        <v>23</v>
      </c>
      <c r="D17" s="39">
        <v>1</v>
      </c>
      <c r="E17" s="28">
        <v>0</v>
      </c>
      <c r="F17" s="32">
        <f t="shared" si="1"/>
        <v>1</v>
      </c>
      <c r="G17" s="29" t="s">
        <v>13</v>
      </c>
      <c r="H17" s="29"/>
      <c r="I17" s="29"/>
      <c r="J17" s="33"/>
      <c r="K17" s="34">
        <f t="shared" si="0"/>
        <v>0</v>
      </c>
      <c r="L17" s="35"/>
    </row>
    <row r="18" spans="1:12" s="37" customFormat="1" x14ac:dyDescent="0.25">
      <c r="A18" s="30" t="str">
        <f>IF(F18&lt;&gt;"",1+MAX($A$6:A17),"")</f>
        <v/>
      </c>
      <c r="B18" s="31"/>
      <c r="C18" s="38" t="s">
        <v>24</v>
      </c>
      <c r="D18" s="39"/>
      <c r="E18" s="28"/>
      <c r="F18" s="32"/>
      <c r="G18" s="29"/>
      <c r="H18" s="29"/>
      <c r="I18" s="29"/>
      <c r="J18" s="33"/>
      <c r="K18" s="34"/>
      <c r="L18" s="35"/>
    </row>
    <row r="19" spans="1:12" s="37" customFormat="1" x14ac:dyDescent="0.25">
      <c r="A19" s="30">
        <f>IF(F19&lt;&gt;"",1+MAX($A$6:A18),"")</f>
        <v>11</v>
      </c>
      <c r="B19" s="31"/>
      <c r="C19" s="44" t="s">
        <v>25</v>
      </c>
      <c r="D19" s="39">
        <v>1</v>
      </c>
      <c r="E19" s="28">
        <v>0</v>
      </c>
      <c r="F19" s="32">
        <f t="shared" si="1"/>
        <v>1</v>
      </c>
      <c r="G19" s="29" t="s">
        <v>13</v>
      </c>
      <c r="H19" s="29"/>
      <c r="I19" s="29"/>
      <c r="J19" s="33"/>
      <c r="K19" s="34">
        <f>J19*F19</f>
        <v>0</v>
      </c>
      <c r="L19" s="35"/>
    </row>
    <row r="20" spans="1:12" s="37" customFormat="1" x14ac:dyDescent="0.25">
      <c r="A20" s="30">
        <f>IF(F20&lt;&gt;"",1+MAX($A$6:A19),"")</f>
        <v>12</v>
      </c>
      <c r="B20" s="31"/>
      <c r="C20" s="38" t="s">
        <v>26</v>
      </c>
      <c r="D20" s="39">
        <v>1</v>
      </c>
      <c r="E20" s="28">
        <v>0</v>
      </c>
      <c r="F20" s="32">
        <f t="shared" si="1"/>
        <v>1</v>
      </c>
      <c r="G20" s="29" t="s">
        <v>13</v>
      </c>
      <c r="H20" s="29"/>
      <c r="I20" s="29"/>
      <c r="J20" s="33"/>
      <c r="K20" s="34">
        <f>J20*F20</f>
        <v>0</v>
      </c>
      <c r="L20" s="35"/>
    </row>
    <row r="21" spans="1:12" s="37" customFormat="1" x14ac:dyDescent="0.25">
      <c r="A21" s="30">
        <f>IF(F21&lt;&gt;"",1+MAX($A$6:A20),"")</f>
        <v>13</v>
      </c>
      <c r="B21" s="31"/>
      <c r="C21" s="38" t="s">
        <v>27</v>
      </c>
      <c r="D21" s="39">
        <v>1</v>
      </c>
      <c r="E21" s="28">
        <v>0</v>
      </c>
      <c r="F21" s="32">
        <f t="shared" si="1"/>
        <v>1</v>
      </c>
      <c r="G21" s="29" t="s">
        <v>13</v>
      </c>
      <c r="H21" s="29"/>
      <c r="I21" s="29"/>
      <c r="J21" s="33"/>
      <c r="K21" s="34">
        <f>J21*F21</f>
        <v>0</v>
      </c>
      <c r="L21" s="35"/>
    </row>
    <row r="22" spans="1:12" s="37" customFormat="1" x14ac:dyDescent="0.25">
      <c r="A22" s="30">
        <f>IF(F22&lt;&gt;"",1+MAX($A$6:A21),"")</f>
        <v>14</v>
      </c>
      <c r="B22" s="31"/>
      <c r="C22" s="38" t="s">
        <v>28</v>
      </c>
      <c r="D22" s="39">
        <v>1</v>
      </c>
      <c r="E22" s="28">
        <v>0</v>
      </c>
      <c r="F22" s="32">
        <f t="shared" si="1"/>
        <v>1</v>
      </c>
      <c r="G22" s="29" t="s">
        <v>13</v>
      </c>
      <c r="H22" s="29"/>
      <c r="I22" s="29"/>
      <c r="J22" s="33"/>
      <c r="K22" s="34">
        <f>J22*F22</f>
        <v>0</v>
      </c>
      <c r="L22" s="35"/>
    </row>
    <row r="23" spans="1:12" s="37" customFormat="1" x14ac:dyDescent="0.25">
      <c r="A23" s="30">
        <f>IF(F23&lt;&gt;"",1+MAX($A$6:A22),"")</f>
        <v>15</v>
      </c>
      <c r="B23" s="31"/>
      <c r="C23" s="38" t="s">
        <v>29</v>
      </c>
      <c r="D23" s="39">
        <v>1</v>
      </c>
      <c r="E23" s="28">
        <v>0</v>
      </c>
      <c r="F23" s="32">
        <f t="shared" si="1"/>
        <v>1</v>
      </c>
      <c r="G23" s="29" t="s">
        <v>13</v>
      </c>
      <c r="H23" s="29"/>
      <c r="I23" s="29"/>
      <c r="J23" s="33"/>
      <c r="K23" s="34">
        <f>J23*F23</f>
        <v>0</v>
      </c>
      <c r="L23" s="35"/>
    </row>
    <row r="24" spans="1:12" s="37" customFormat="1" x14ac:dyDescent="0.25">
      <c r="A24" s="30" t="str">
        <f>IF(F24&lt;&gt;"",1+MAX($A$6:A23),"")</f>
        <v/>
      </c>
      <c r="B24" s="31"/>
      <c r="C24" s="38" t="s">
        <v>24</v>
      </c>
      <c r="D24" s="39"/>
      <c r="E24" s="28"/>
      <c r="F24" s="32"/>
      <c r="G24" s="29"/>
      <c r="H24" s="29"/>
      <c r="I24" s="29"/>
      <c r="J24" s="33"/>
      <c r="K24" s="34"/>
      <c r="L24" s="35"/>
    </row>
    <row r="25" spans="1:12" s="37" customFormat="1" x14ac:dyDescent="0.25">
      <c r="A25" s="30">
        <f>IF(F25&lt;&gt;"",1+MAX($A$6:A24),"")</f>
        <v>16</v>
      </c>
      <c r="B25" s="31"/>
      <c r="C25" s="44" t="s">
        <v>30</v>
      </c>
      <c r="D25" s="39">
        <v>1</v>
      </c>
      <c r="E25" s="28">
        <v>0</v>
      </c>
      <c r="F25" s="32">
        <f>D25*(1+E25)</f>
        <v>1</v>
      </c>
      <c r="G25" s="29" t="s">
        <v>13</v>
      </c>
      <c r="H25" s="29"/>
      <c r="I25" s="29"/>
      <c r="J25" s="33"/>
      <c r="K25" s="34">
        <f>J25*F25</f>
        <v>0</v>
      </c>
      <c r="L25" s="35"/>
    </row>
    <row r="26" spans="1:12" s="6" customFormat="1" ht="15.75" thickBot="1" x14ac:dyDescent="0.3">
      <c r="A26" s="30" t="str">
        <f>IF(F26&lt;&gt;"",1+MAX($A$6:A25),"")</f>
        <v/>
      </c>
      <c r="B26" s="11"/>
      <c r="C26" s="42"/>
      <c r="D26" s="92"/>
      <c r="E26" s="3"/>
      <c r="F26" s="1"/>
      <c r="G26" s="4"/>
      <c r="H26" s="4"/>
      <c r="I26" s="4"/>
      <c r="J26" s="24"/>
      <c r="K26" s="20"/>
      <c r="L26" s="5"/>
    </row>
    <row r="27" spans="1:12" ht="15.75" thickBot="1" x14ac:dyDescent="0.25">
      <c r="A27" s="19"/>
      <c r="B27" s="7" t="s">
        <v>33</v>
      </c>
      <c r="C27" s="43" t="s">
        <v>31</v>
      </c>
      <c r="D27" s="93"/>
      <c r="E27" s="8"/>
      <c r="F27" s="8"/>
      <c r="G27" s="7"/>
      <c r="H27" s="7"/>
      <c r="I27" s="7"/>
      <c r="J27" s="25"/>
      <c r="K27" s="21"/>
      <c r="L27" s="9">
        <f>SUM(K28:K289)</f>
        <v>0</v>
      </c>
    </row>
    <row r="28" spans="1:12" s="6" customFormat="1" x14ac:dyDescent="0.25">
      <c r="A28" s="30" t="str">
        <f>IF(F28&lt;&gt;"",1+MAX($A$6:A27),"")</f>
        <v/>
      </c>
      <c r="B28" s="11"/>
      <c r="C28" s="42"/>
      <c r="D28" s="92"/>
      <c r="E28" s="3"/>
      <c r="F28" s="1"/>
      <c r="G28" s="4"/>
      <c r="H28" s="4"/>
      <c r="I28" s="4"/>
      <c r="J28" s="24"/>
      <c r="K28" s="20"/>
      <c r="L28" s="5"/>
    </row>
    <row r="29" spans="1:12" s="6" customFormat="1" x14ac:dyDescent="0.25">
      <c r="A29" s="30" t="str">
        <f>IF(F29&lt;&gt;"",1+MAX($A$6:A28),"")</f>
        <v/>
      </c>
      <c r="B29" s="11"/>
      <c r="C29" s="40" t="s">
        <v>43</v>
      </c>
      <c r="D29" s="92"/>
      <c r="E29" s="3"/>
      <c r="F29" s="1"/>
      <c r="G29" s="4"/>
      <c r="H29" s="4"/>
      <c r="I29" s="4"/>
      <c r="J29" s="24"/>
      <c r="K29" s="20"/>
      <c r="L29" s="5"/>
    </row>
    <row r="30" spans="1:12" s="6" customFormat="1" x14ac:dyDescent="0.25">
      <c r="A30" s="30">
        <f>IF(F30&lt;&gt;"",1+MAX($A$6:A29),"")</f>
        <v>17</v>
      </c>
      <c r="B30" s="11"/>
      <c r="C30" s="37" t="s">
        <v>118</v>
      </c>
      <c r="D30" s="41">
        <v>112</v>
      </c>
      <c r="E30" s="28">
        <v>0</v>
      </c>
      <c r="F30" s="32">
        <f t="shared" ref="F30:F31" si="2">D30*(1+E30)</f>
        <v>112</v>
      </c>
      <c r="G30" s="29" t="s">
        <v>42</v>
      </c>
      <c r="H30" s="29"/>
      <c r="I30" s="29"/>
      <c r="J30" s="33"/>
      <c r="K30" s="34">
        <f t="shared" ref="K30:K31" si="3">J30*F30</f>
        <v>0</v>
      </c>
      <c r="L30" s="5"/>
    </row>
    <row r="31" spans="1:12" s="37" customFormat="1" x14ac:dyDescent="0.25">
      <c r="A31" s="30">
        <f>IF(F31&lt;&gt;"",1+MAX($A$6:A30),"")</f>
        <v>18</v>
      </c>
      <c r="B31" s="31"/>
      <c r="C31" s="37" t="s">
        <v>98</v>
      </c>
      <c r="D31" s="41">
        <v>142</v>
      </c>
      <c r="E31" s="28">
        <v>0</v>
      </c>
      <c r="F31" s="32">
        <f t="shared" si="2"/>
        <v>142</v>
      </c>
      <c r="G31" s="29" t="s">
        <v>40</v>
      </c>
      <c r="H31" s="29"/>
      <c r="I31" s="29"/>
      <c r="J31" s="33"/>
      <c r="K31" s="34">
        <f t="shared" si="3"/>
        <v>0</v>
      </c>
      <c r="L31" s="35"/>
    </row>
    <row r="32" spans="1:12" s="37" customFormat="1" x14ac:dyDescent="0.25">
      <c r="A32" s="30">
        <f>IF(F32&lt;&gt;"",1+MAX($A$6:A31),"")</f>
        <v>19</v>
      </c>
      <c r="B32" s="31"/>
      <c r="C32" s="37" t="s">
        <v>119</v>
      </c>
      <c r="D32" s="41">
        <v>35</v>
      </c>
      <c r="E32" s="28">
        <v>0</v>
      </c>
      <c r="F32" s="32">
        <f t="shared" ref="F32" si="4">D32*(1+E32)</f>
        <v>35</v>
      </c>
      <c r="G32" s="29" t="s">
        <v>40</v>
      </c>
      <c r="H32" s="29"/>
      <c r="I32" s="29"/>
      <c r="J32" s="33"/>
      <c r="K32" s="34">
        <f t="shared" ref="K32" si="5">J32*F32</f>
        <v>0</v>
      </c>
      <c r="L32" s="35"/>
    </row>
    <row r="33" spans="1:12" s="37" customFormat="1" x14ac:dyDescent="0.25">
      <c r="A33" s="30">
        <f>IF(F33&lt;&gt;"",1+MAX($A$6:A32),"")</f>
        <v>20</v>
      </c>
      <c r="B33" s="31"/>
      <c r="C33" s="37" t="s">
        <v>116</v>
      </c>
      <c r="D33" s="41">
        <v>1</v>
      </c>
      <c r="E33" s="28">
        <v>0</v>
      </c>
      <c r="F33" s="32">
        <f t="shared" ref="F33" si="6">D33*(1+E33)</f>
        <v>1</v>
      </c>
      <c r="G33" s="29" t="s">
        <v>41</v>
      </c>
      <c r="H33" s="29"/>
      <c r="I33" s="29"/>
      <c r="J33" s="33"/>
      <c r="K33" s="34">
        <f t="shared" ref="K33" si="7">J33*F33</f>
        <v>0</v>
      </c>
      <c r="L33" s="35"/>
    </row>
    <row r="34" spans="1:12" s="37" customFormat="1" x14ac:dyDescent="0.25">
      <c r="A34" s="30">
        <f>IF(F34&lt;&gt;"",1+MAX($A$6:A33),"")</f>
        <v>21</v>
      </c>
      <c r="B34" s="31"/>
      <c r="C34" s="37" t="s">
        <v>117</v>
      </c>
      <c r="D34" s="41">
        <v>1</v>
      </c>
      <c r="E34" s="28">
        <v>0</v>
      </c>
      <c r="F34" s="32">
        <f t="shared" ref="F34" si="8">D34*(1+E34)</f>
        <v>1</v>
      </c>
      <c r="G34" s="29" t="s">
        <v>41</v>
      </c>
      <c r="H34" s="29"/>
      <c r="I34" s="29"/>
      <c r="J34" s="33"/>
      <c r="K34" s="34">
        <f t="shared" ref="K34" si="9">J34*F34</f>
        <v>0</v>
      </c>
      <c r="L34" s="35"/>
    </row>
    <row r="35" spans="1:12" s="37" customFormat="1" x14ac:dyDescent="0.25">
      <c r="A35" s="30" t="str">
        <f>IF(F35&lt;&gt;"",1+MAX($A$6:A34),"")</f>
        <v/>
      </c>
      <c r="B35" s="31"/>
      <c r="D35" s="41"/>
      <c r="E35" s="28"/>
      <c r="F35" s="32"/>
      <c r="G35" s="29"/>
      <c r="H35" s="29"/>
      <c r="I35" s="29"/>
      <c r="J35" s="33"/>
      <c r="K35" s="34"/>
      <c r="L35" s="35"/>
    </row>
    <row r="36" spans="1:12" s="6" customFormat="1" x14ac:dyDescent="0.25">
      <c r="A36" s="30" t="str">
        <f>IF(F36&lt;&gt;"",1+MAX($A$6:A35),"")</f>
        <v/>
      </c>
      <c r="B36" s="11"/>
      <c r="C36" s="40" t="s">
        <v>58</v>
      </c>
      <c r="D36" s="92"/>
      <c r="E36" s="3"/>
      <c r="F36" s="1"/>
      <c r="G36" s="4"/>
      <c r="H36" s="4"/>
      <c r="I36" s="4"/>
      <c r="J36" s="24"/>
      <c r="K36" s="20"/>
      <c r="L36" s="5"/>
    </row>
    <row r="37" spans="1:12" s="6" customFormat="1" x14ac:dyDescent="0.25">
      <c r="A37" s="30">
        <f>IF(F37&lt;&gt;"",1+MAX($A$6:A36),"")</f>
        <v>22</v>
      </c>
      <c r="B37" s="11"/>
      <c r="C37" s="37" t="s">
        <v>165</v>
      </c>
      <c r="D37" s="41">
        <v>46</v>
      </c>
      <c r="E37" s="28">
        <v>0.1</v>
      </c>
      <c r="F37" s="32">
        <f t="shared" ref="F37:F38" si="10">D37*(1+E37)</f>
        <v>50.6</v>
      </c>
      <c r="G37" s="29" t="s">
        <v>42</v>
      </c>
      <c r="H37" s="29"/>
      <c r="I37" s="29"/>
      <c r="J37" s="33"/>
      <c r="K37" s="34">
        <f t="shared" ref="K37:K38" si="11">J37*F37</f>
        <v>0</v>
      </c>
      <c r="L37" s="5"/>
    </row>
    <row r="38" spans="1:12" s="37" customFormat="1" x14ac:dyDescent="0.25">
      <c r="A38" s="30">
        <f>IF(F38&lt;&gt;"",1+MAX($A$6:A37),"")</f>
        <v>23</v>
      </c>
      <c r="B38" s="31"/>
      <c r="C38" s="37" t="s">
        <v>102</v>
      </c>
      <c r="D38" s="41">
        <v>1470</v>
      </c>
      <c r="E38" s="28">
        <v>0.1</v>
      </c>
      <c r="F38" s="32">
        <f t="shared" si="10"/>
        <v>1617.0000000000002</v>
      </c>
      <c r="G38" s="29" t="s">
        <v>42</v>
      </c>
      <c r="H38" s="29"/>
      <c r="I38" s="29"/>
      <c r="J38" s="33"/>
      <c r="K38" s="34">
        <f t="shared" si="11"/>
        <v>0</v>
      </c>
      <c r="L38" s="35"/>
    </row>
    <row r="39" spans="1:12" s="37" customFormat="1" x14ac:dyDescent="0.25">
      <c r="A39" s="30">
        <f>IF(F39&lt;&gt;"",1+MAX($A$6:A38),"")</f>
        <v>24</v>
      </c>
      <c r="B39" s="31"/>
      <c r="C39" s="37" t="s">
        <v>57</v>
      </c>
      <c r="D39" s="41">
        <v>935</v>
      </c>
      <c r="E39" s="28">
        <v>0.1</v>
      </c>
      <c r="F39" s="32">
        <f t="shared" ref="F39" si="12">D39*(1+E39)</f>
        <v>1028.5</v>
      </c>
      <c r="G39" s="29" t="s">
        <v>40</v>
      </c>
      <c r="H39" s="29"/>
      <c r="I39" s="29"/>
      <c r="J39" s="33"/>
      <c r="K39" s="34">
        <f t="shared" ref="K39" si="13">J39*F39</f>
        <v>0</v>
      </c>
      <c r="L39" s="35"/>
    </row>
    <row r="40" spans="1:12" s="37" customFormat="1" x14ac:dyDescent="0.25">
      <c r="A40" s="30">
        <f>IF(F40&lt;&gt;"",1+MAX($A$6:A39),"")</f>
        <v>25</v>
      </c>
      <c r="B40" s="31"/>
      <c r="C40" s="37" t="s">
        <v>166</v>
      </c>
      <c r="D40" s="41">
        <v>5</v>
      </c>
      <c r="E40" s="28">
        <v>0</v>
      </c>
      <c r="F40" s="32">
        <f t="shared" ref="F40" si="14">D40*(1+E40)</f>
        <v>5</v>
      </c>
      <c r="G40" s="29" t="s">
        <v>41</v>
      </c>
      <c r="H40" s="29"/>
      <c r="I40" s="29"/>
      <c r="J40" s="33"/>
      <c r="K40" s="34">
        <f t="shared" ref="K40" si="15">J40*F40</f>
        <v>0</v>
      </c>
      <c r="L40" s="35"/>
    </row>
    <row r="41" spans="1:12" s="37" customFormat="1" x14ac:dyDescent="0.25">
      <c r="A41" s="30" t="str">
        <f>IF(F41&lt;&gt;"",1+MAX($A$6:A40),"")</f>
        <v/>
      </c>
      <c r="B41" s="31"/>
      <c r="D41" s="41"/>
      <c r="E41" s="28"/>
      <c r="F41" s="32"/>
      <c r="G41" s="29"/>
      <c r="H41" s="29"/>
      <c r="I41" s="29"/>
      <c r="J41" s="33"/>
      <c r="K41" s="34"/>
      <c r="L41" s="35"/>
    </row>
    <row r="42" spans="1:12" s="6" customFormat="1" x14ac:dyDescent="0.25">
      <c r="A42" s="30" t="str">
        <f>IF(F42&lt;&gt;"",1+MAX($A$6:A41),"")</f>
        <v/>
      </c>
      <c r="B42" s="11"/>
      <c r="C42" s="40" t="s">
        <v>44</v>
      </c>
      <c r="D42" s="92"/>
      <c r="E42" s="3"/>
      <c r="F42" s="1"/>
      <c r="G42" s="4"/>
      <c r="H42" s="4"/>
      <c r="I42" s="4"/>
      <c r="J42" s="24"/>
      <c r="K42" s="20"/>
      <c r="L42" s="5"/>
    </row>
    <row r="43" spans="1:12" s="6" customFormat="1" x14ac:dyDescent="0.25">
      <c r="A43" s="30" t="str">
        <f>IF(F43&lt;&gt;"",1+MAX($A$6:A42),"")</f>
        <v/>
      </c>
      <c r="B43" s="11"/>
      <c r="C43" s="40" t="s">
        <v>60</v>
      </c>
      <c r="D43" s="92"/>
      <c r="E43" s="3"/>
      <c r="F43" s="1"/>
      <c r="G43" s="4"/>
      <c r="H43" s="4"/>
      <c r="I43" s="4"/>
      <c r="J43" s="24"/>
      <c r="K43" s="20"/>
      <c r="L43" s="5"/>
    </row>
    <row r="44" spans="1:12" s="6" customFormat="1" x14ac:dyDescent="0.25">
      <c r="A44" s="30">
        <f>IF(F44&lt;&gt;"",1+MAX($A$6:A43),"")</f>
        <v>26</v>
      </c>
      <c r="B44" s="11"/>
      <c r="C44" s="37" t="s">
        <v>120</v>
      </c>
      <c r="D44" s="41">
        <v>1240</v>
      </c>
      <c r="E44" s="28">
        <v>0.1</v>
      </c>
      <c r="F44" s="32">
        <f t="shared" ref="F44:F45" si="16">D44*(1+E44)</f>
        <v>1364</v>
      </c>
      <c r="G44" s="29" t="s">
        <v>40</v>
      </c>
      <c r="H44" s="29"/>
      <c r="I44" s="29"/>
      <c r="J44" s="33"/>
      <c r="K44" s="34">
        <f t="shared" ref="K44:K45" si="17">J44*F44</f>
        <v>0</v>
      </c>
      <c r="L44" s="5"/>
    </row>
    <row r="45" spans="1:12" s="37" customFormat="1" x14ac:dyDescent="0.25">
      <c r="A45" s="30">
        <f>IF(F45&lt;&gt;"",1+MAX($A$6:A44),"")</f>
        <v>27</v>
      </c>
      <c r="B45" s="31"/>
      <c r="C45" s="37" t="s">
        <v>121</v>
      </c>
      <c r="D45" s="41">
        <v>135</v>
      </c>
      <c r="E45" s="28">
        <v>0.1</v>
      </c>
      <c r="F45" s="32">
        <f t="shared" si="16"/>
        <v>148.5</v>
      </c>
      <c r="G45" s="29" t="s">
        <v>40</v>
      </c>
      <c r="H45" s="29"/>
      <c r="I45" s="29"/>
      <c r="J45" s="33"/>
      <c r="K45" s="34">
        <f t="shared" si="17"/>
        <v>0</v>
      </c>
      <c r="L45" s="35"/>
    </row>
    <row r="46" spans="1:12" s="37" customFormat="1" x14ac:dyDescent="0.25">
      <c r="A46" s="30" t="str">
        <f>IF(F46&lt;&gt;"",1+MAX($A$6:A45),"")</f>
        <v/>
      </c>
      <c r="B46" s="31"/>
      <c r="D46" s="41"/>
      <c r="E46" s="28"/>
      <c r="F46" s="32"/>
      <c r="G46" s="29"/>
      <c r="H46" s="29"/>
      <c r="I46" s="29"/>
      <c r="J46" s="33"/>
      <c r="K46" s="34"/>
      <c r="L46" s="35"/>
    </row>
    <row r="47" spans="1:12" s="6" customFormat="1" x14ac:dyDescent="0.25">
      <c r="A47" s="30" t="str">
        <f>IF(F47&lt;&gt;"",1+MAX($A$6:A46),"")</f>
        <v/>
      </c>
      <c r="B47" s="11"/>
      <c r="C47" s="91" t="s">
        <v>127</v>
      </c>
      <c r="D47" s="41"/>
      <c r="E47" s="28"/>
      <c r="F47" s="32"/>
      <c r="G47" s="29"/>
      <c r="H47" s="29"/>
      <c r="I47" s="29"/>
      <c r="J47" s="33"/>
      <c r="K47" s="34"/>
      <c r="L47" s="5"/>
    </row>
    <row r="48" spans="1:12" s="37" customFormat="1" x14ac:dyDescent="0.25">
      <c r="A48" s="30">
        <f>IF(F48&lt;&gt;"",1+MAX($A$6:A47),"")</f>
        <v>28</v>
      </c>
      <c r="B48" s="31"/>
      <c r="C48" s="37" t="s">
        <v>112</v>
      </c>
      <c r="D48" s="41">
        <v>4</v>
      </c>
      <c r="E48" s="28">
        <v>0</v>
      </c>
      <c r="F48" s="32">
        <f>D48*(1+E48)</f>
        <v>4</v>
      </c>
      <c r="G48" s="29" t="s">
        <v>41</v>
      </c>
      <c r="H48" s="29"/>
      <c r="I48" s="29"/>
      <c r="J48" s="33"/>
      <c r="K48" s="34">
        <f>J48*F48</f>
        <v>0</v>
      </c>
      <c r="L48" s="35"/>
    </row>
    <row r="49" spans="1:12" s="37" customFormat="1" x14ac:dyDescent="0.25">
      <c r="A49" s="30">
        <f>IF(F49&lt;&gt;"",1+MAX($A$6:A48),"")</f>
        <v>29</v>
      </c>
      <c r="B49" s="31"/>
      <c r="C49" s="37" t="s">
        <v>71</v>
      </c>
      <c r="D49" s="41">
        <f>5.3*4/27</f>
        <v>0.78518518518518521</v>
      </c>
      <c r="E49" s="28">
        <v>0.1</v>
      </c>
      <c r="F49" s="32">
        <f t="shared" ref="F49:F52" si="18">D49*(1+E49)</f>
        <v>0.86370370370370375</v>
      </c>
      <c r="G49" s="29" t="s">
        <v>47</v>
      </c>
      <c r="H49" s="29"/>
      <c r="I49" s="29"/>
      <c r="J49" s="33"/>
      <c r="K49" s="34">
        <f t="shared" ref="K49:K52" si="19">J49*F49</f>
        <v>0</v>
      </c>
      <c r="L49" s="35"/>
    </row>
    <row r="50" spans="1:12" s="37" customFormat="1" x14ac:dyDescent="0.25">
      <c r="A50" s="30">
        <f>IF(F50&lt;&gt;"",1+MAX($A$6:A49),"")</f>
        <v>30</v>
      </c>
      <c r="B50" s="31"/>
      <c r="C50" s="37" t="s">
        <v>72</v>
      </c>
      <c r="D50" s="41">
        <f>5.3*4</f>
        <v>21.2</v>
      </c>
      <c r="E50" s="28">
        <v>0.1</v>
      </c>
      <c r="F50" s="32">
        <f t="shared" si="18"/>
        <v>23.32</v>
      </c>
      <c r="G50" s="29" t="s">
        <v>75</v>
      </c>
      <c r="H50" s="29"/>
      <c r="I50" s="29"/>
      <c r="J50" s="33"/>
      <c r="K50" s="34">
        <f t="shared" si="19"/>
        <v>0</v>
      </c>
      <c r="L50" s="35"/>
    </row>
    <row r="51" spans="1:12" s="37" customFormat="1" x14ac:dyDescent="0.25">
      <c r="A51" s="30">
        <f>IF(F51&lt;&gt;"",1+MAX($A$6:A50),"")</f>
        <v>31</v>
      </c>
      <c r="B51" s="31"/>
      <c r="C51" s="37" t="s">
        <v>73</v>
      </c>
      <c r="D51" s="41">
        <f>10.3*4/27</f>
        <v>1.5259259259259261</v>
      </c>
      <c r="E51" s="28">
        <v>0.1</v>
      </c>
      <c r="F51" s="32">
        <f t="shared" si="18"/>
        <v>1.678518518518519</v>
      </c>
      <c r="G51" s="29" t="s">
        <v>47</v>
      </c>
      <c r="H51" s="29"/>
      <c r="I51" s="29"/>
      <c r="J51" s="33"/>
      <c r="K51" s="34">
        <f t="shared" si="19"/>
        <v>0</v>
      </c>
      <c r="L51" s="35"/>
    </row>
    <row r="52" spans="1:12" s="37" customFormat="1" x14ac:dyDescent="0.25">
      <c r="A52" s="30">
        <f>IF(F52&lt;&gt;"",1+MAX($A$6:A51),"")</f>
        <v>32</v>
      </c>
      <c r="B52" s="31"/>
      <c r="C52" s="37" t="s">
        <v>74</v>
      </c>
      <c r="D52" s="41">
        <f>D51-D49</f>
        <v>0.74074074074074092</v>
      </c>
      <c r="E52" s="28">
        <v>0.1</v>
      </c>
      <c r="F52" s="32">
        <f t="shared" si="18"/>
        <v>0.8148148148148151</v>
      </c>
      <c r="G52" s="29" t="s">
        <v>47</v>
      </c>
      <c r="H52" s="29"/>
      <c r="I52" s="29"/>
      <c r="J52" s="33"/>
      <c r="K52" s="34">
        <f t="shared" si="19"/>
        <v>0</v>
      </c>
      <c r="L52" s="35"/>
    </row>
    <row r="53" spans="1:12" s="37" customFormat="1" ht="15.75" customHeight="1" x14ac:dyDescent="0.25">
      <c r="A53" s="30" t="str">
        <f>IF(F53&lt;&gt;"",1+MAX($A$6:A52),"")</f>
        <v/>
      </c>
      <c r="B53" s="31"/>
      <c r="D53" s="41"/>
      <c r="E53" s="28"/>
      <c r="F53" s="32"/>
      <c r="G53" s="29"/>
      <c r="H53" s="29"/>
      <c r="I53" s="29"/>
      <c r="J53" s="33"/>
      <c r="K53" s="34"/>
      <c r="L53" s="35"/>
    </row>
    <row r="54" spans="1:12" s="6" customFormat="1" x14ac:dyDescent="0.25">
      <c r="A54" s="30" t="str">
        <f>IF(F54&lt;&gt;"",1+MAX($A$6:A53),"")</f>
        <v/>
      </c>
      <c r="B54" s="11"/>
      <c r="C54" s="91" t="s">
        <v>181</v>
      </c>
      <c r="D54" s="41"/>
      <c r="E54" s="28"/>
      <c r="F54" s="32"/>
      <c r="G54" s="29"/>
      <c r="H54" s="29"/>
      <c r="I54" s="29"/>
      <c r="J54" s="33"/>
      <c r="K54" s="34"/>
      <c r="L54" s="5"/>
    </row>
    <row r="55" spans="1:12" s="37" customFormat="1" x14ac:dyDescent="0.25">
      <c r="A55" s="30">
        <f>IF(F55&lt;&gt;"",1+MAX($A$6:A54),"")</f>
        <v>33</v>
      </c>
      <c r="B55" s="31"/>
      <c r="C55" s="37" t="s">
        <v>112</v>
      </c>
      <c r="D55" s="41">
        <v>1</v>
      </c>
      <c r="E55" s="28">
        <v>0</v>
      </c>
      <c r="F55" s="32">
        <f>D55*(1+E55)</f>
        <v>1</v>
      </c>
      <c r="G55" s="29" t="s">
        <v>41</v>
      </c>
      <c r="H55" s="29"/>
      <c r="I55" s="29"/>
      <c r="J55" s="33"/>
      <c r="K55" s="34">
        <f>J55*F55</f>
        <v>0</v>
      </c>
      <c r="L55" s="35"/>
    </row>
    <row r="56" spans="1:12" s="37" customFormat="1" x14ac:dyDescent="0.25">
      <c r="A56" s="30">
        <f>IF(F56&lt;&gt;"",1+MAX($A$6:A55),"")</f>
        <v>34</v>
      </c>
      <c r="B56" s="31"/>
      <c r="C56" s="37" t="s">
        <v>71</v>
      </c>
      <c r="D56" s="104">
        <f>2.4*1/27</f>
        <v>8.8888888888888892E-2</v>
      </c>
      <c r="E56" s="28">
        <v>0.1</v>
      </c>
      <c r="F56" s="119">
        <f t="shared" ref="F56:F59" si="20">D56*(1+E56)</f>
        <v>9.7777777777777783E-2</v>
      </c>
      <c r="G56" s="29" t="s">
        <v>47</v>
      </c>
      <c r="H56" s="29"/>
      <c r="I56" s="29"/>
      <c r="J56" s="33"/>
      <c r="K56" s="34">
        <f t="shared" ref="K56:K59" si="21">J56*F56</f>
        <v>0</v>
      </c>
      <c r="L56" s="35"/>
    </row>
    <row r="57" spans="1:12" s="37" customFormat="1" x14ac:dyDescent="0.25">
      <c r="A57" s="30">
        <f>IF(F57&lt;&gt;"",1+MAX($A$6:A56),"")</f>
        <v>35</v>
      </c>
      <c r="B57" s="31"/>
      <c r="C57" s="37" t="s">
        <v>72</v>
      </c>
      <c r="D57" s="41">
        <f>2.4*1</f>
        <v>2.4</v>
      </c>
      <c r="E57" s="28">
        <v>0.1</v>
      </c>
      <c r="F57" s="32">
        <f t="shared" si="20"/>
        <v>2.64</v>
      </c>
      <c r="G57" s="29" t="s">
        <v>75</v>
      </c>
      <c r="H57" s="29"/>
      <c r="I57" s="29"/>
      <c r="J57" s="33"/>
      <c r="K57" s="34">
        <f t="shared" si="21"/>
        <v>0</v>
      </c>
      <c r="L57" s="35"/>
    </row>
    <row r="58" spans="1:12" s="37" customFormat="1" x14ac:dyDescent="0.25">
      <c r="A58" s="30">
        <f>IF(F58&lt;&gt;"",1+MAX($A$6:A57),"")</f>
        <v>36</v>
      </c>
      <c r="B58" s="31"/>
      <c r="C58" s="37" t="s">
        <v>73</v>
      </c>
      <c r="D58" s="104">
        <f>4.8*1/27</f>
        <v>0.17777777777777778</v>
      </c>
      <c r="E58" s="28">
        <v>0.1</v>
      </c>
      <c r="F58" s="119">
        <f t="shared" si="20"/>
        <v>0.19555555555555557</v>
      </c>
      <c r="G58" s="29" t="s">
        <v>47</v>
      </c>
      <c r="H58" s="29"/>
      <c r="I58" s="29"/>
      <c r="J58" s="33"/>
      <c r="K58" s="34">
        <f t="shared" si="21"/>
        <v>0</v>
      </c>
      <c r="L58" s="35"/>
    </row>
    <row r="59" spans="1:12" s="37" customFormat="1" x14ac:dyDescent="0.25">
      <c r="A59" s="30">
        <f>IF(F59&lt;&gt;"",1+MAX($A$6:A58),"")</f>
        <v>37</v>
      </c>
      <c r="B59" s="31"/>
      <c r="C59" s="37" t="s">
        <v>74</v>
      </c>
      <c r="D59" s="104">
        <f>D58-D56</f>
        <v>8.8888888888888892E-2</v>
      </c>
      <c r="E59" s="28">
        <v>0.1</v>
      </c>
      <c r="F59" s="119">
        <f t="shared" si="20"/>
        <v>9.7777777777777783E-2</v>
      </c>
      <c r="G59" s="29" t="s">
        <v>47</v>
      </c>
      <c r="H59" s="29"/>
      <c r="I59" s="29"/>
      <c r="J59" s="33"/>
      <c r="K59" s="34">
        <f t="shared" si="21"/>
        <v>0</v>
      </c>
      <c r="L59" s="35"/>
    </row>
    <row r="60" spans="1:12" s="37" customFormat="1" x14ac:dyDescent="0.25">
      <c r="A60" s="30" t="str">
        <f>IF(F60&lt;&gt;"",1+MAX($A$6:A59),"")</f>
        <v/>
      </c>
      <c r="B60" s="31"/>
      <c r="D60" s="41"/>
      <c r="E60" s="28"/>
      <c r="F60" s="32"/>
      <c r="G60" s="29"/>
      <c r="H60" s="29"/>
      <c r="I60" s="29"/>
      <c r="J60" s="33"/>
      <c r="K60" s="34"/>
      <c r="L60" s="35"/>
    </row>
    <row r="61" spans="1:12" s="6" customFormat="1" x14ac:dyDescent="0.25">
      <c r="A61" s="30" t="str">
        <f>IF(F61&lt;&gt;"",1+MAX($A$6:A60),"")</f>
        <v/>
      </c>
      <c r="B61" s="11"/>
      <c r="C61" s="91" t="s">
        <v>113</v>
      </c>
      <c r="D61" s="41"/>
      <c r="E61" s="28"/>
      <c r="F61" s="32"/>
      <c r="G61" s="29"/>
      <c r="H61" s="29"/>
      <c r="I61" s="29"/>
      <c r="J61" s="33"/>
      <c r="K61" s="34"/>
      <c r="L61" s="5"/>
    </row>
    <row r="62" spans="1:12" s="37" customFormat="1" x14ac:dyDescent="0.25">
      <c r="A62" s="30">
        <f>IF(F62&lt;&gt;"",1+MAX($A$6:A61),"")</f>
        <v>38</v>
      </c>
      <c r="B62" s="31"/>
      <c r="C62" s="37" t="s">
        <v>112</v>
      </c>
      <c r="D62" s="41">
        <v>4</v>
      </c>
      <c r="E62" s="28">
        <v>0</v>
      </c>
      <c r="F62" s="32">
        <f>D62*(1+E62)</f>
        <v>4</v>
      </c>
      <c r="G62" s="29" t="s">
        <v>41</v>
      </c>
      <c r="H62" s="29"/>
      <c r="I62" s="29"/>
      <c r="J62" s="33"/>
      <c r="K62" s="34">
        <f>J62*F62</f>
        <v>0</v>
      </c>
      <c r="L62" s="35"/>
    </row>
    <row r="63" spans="1:12" s="37" customFormat="1" x14ac:dyDescent="0.25">
      <c r="A63" s="30">
        <f>IF(F63&lt;&gt;"",1+MAX($A$6:A62),"")</f>
        <v>39</v>
      </c>
      <c r="B63" s="31"/>
      <c r="C63" s="37" t="s">
        <v>85</v>
      </c>
      <c r="D63" s="104">
        <f>2.25*3.14/4*4/27</f>
        <v>0.26166666666666666</v>
      </c>
      <c r="E63" s="28">
        <v>0.1</v>
      </c>
      <c r="F63" s="32">
        <f t="shared" ref="F63:F66" si="22">D63*(1+E63)</f>
        <v>0.28783333333333333</v>
      </c>
      <c r="G63" s="29" t="s">
        <v>47</v>
      </c>
      <c r="H63" s="29"/>
      <c r="I63" s="29"/>
      <c r="J63" s="33"/>
      <c r="K63" s="34">
        <f t="shared" ref="K63:K66" si="23">J63*F63</f>
        <v>0</v>
      </c>
      <c r="L63" s="35"/>
    </row>
    <row r="64" spans="1:12" s="37" customFormat="1" x14ac:dyDescent="0.25">
      <c r="A64" s="30">
        <f>IF(F64&lt;&gt;"",1+MAX($A$6:A63),"")</f>
        <v>40</v>
      </c>
      <c r="B64" s="31"/>
      <c r="C64" s="37" t="s">
        <v>72</v>
      </c>
      <c r="D64" s="41">
        <f>2.25*3.14/4*4</f>
        <v>7.0650000000000004</v>
      </c>
      <c r="E64" s="28">
        <v>0.1</v>
      </c>
      <c r="F64" s="32">
        <f t="shared" si="22"/>
        <v>7.7715000000000014</v>
      </c>
      <c r="G64" s="29" t="s">
        <v>75</v>
      </c>
      <c r="H64" s="29"/>
      <c r="I64" s="29"/>
      <c r="J64" s="33"/>
      <c r="K64" s="34">
        <f t="shared" si="23"/>
        <v>0</v>
      </c>
      <c r="L64" s="35"/>
    </row>
    <row r="65" spans="1:12" s="37" customFormat="1" x14ac:dyDescent="0.25">
      <c r="A65" s="30">
        <f>IF(F65&lt;&gt;"",1+MAX($A$6:A64),"")</f>
        <v>41</v>
      </c>
      <c r="B65" s="31"/>
      <c r="C65" s="37" t="s">
        <v>73</v>
      </c>
      <c r="D65" s="104">
        <f>5*3.14/4*4/27</f>
        <v>0.58148148148148149</v>
      </c>
      <c r="E65" s="28">
        <v>0.1</v>
      </c>
      <c r="F65" s="32">
        <f t="shared" si="22"/>
        <v>0.63962962962962966</v>
      </c>
      <c r="G65" s="29" t="s">
        <v>47</v>
      </c>
      <c r="H65" s="29"/>
      <c r="I65" s="29"/>
      <c r="J65" s="33"/>
      <c r="K65" s="34">
        <f t="shared" si="23"/>
        <v>0</v>
      </c>
      <c r="L65" s="35"/>
    </row>
    <row r="66" spans="1:12" s="37" customFormat="1" x14ac:dyDescent="0.25">
      <c r="A66" s="30">
        <f>IF(F66&lt;&gt;"",1+MAX($A$6:A65),"")</f>
        <v>42</v>
      </c>
      <c r="B66" s="31"/>
      <c r="C66" s="37" t="s">
        <v>74</v>
      </c>
      <c r="D66" s="104">
        <f>D65-D63</f>
        <v>0.31981481481481483</v>
      </c>
      <c r="E66" s="28">
        <v>0.1</v>
      </c>
      <c r="F66" s="32">
        <f t="shared" si="22"/>
        <v>0.35179629629629633</v>
      </c>
      <c r="G66" s="29" t="s">
        <v>47</v>
      </c>
      <c r="H66" s="29"/>
      <c r="I66" s="29"/>
      <c r="J66" s="33"/>
      <c r="K66" s="34">
        <f t="shared" si="23"/>
        <v>0</v>
      </c>
      <c r="L66" s="35"/>
    </row>
    <row r="67" spans="1:12" s="37" customFormat="1" x14ac:dyDescent="0.25">
      <c r="A67" s="30" t="str">
        <f>IF(F67&lt;&gt;"",1+MAX($A$6:A66),"")</f>
        <v/>
      </c>
      <c r="B67" s="31"/>
      <c r="D67" s="41"/>
      <c r="E67" s="28"/>
      <c r="F67" s="32"/>
      <c r="G67" s="29"/>
      <c r="H67" s="29"/>
      <c r="I67" s="29"/>
      <c r="J67" s="33"/>
      <c r="K67" s="34"/>
      <c r="L67" s="35"/>
    </row>
    <row r="68" spans="1:12" s="37" customFormat="1" x14ac:dyDescent="0.25">
      <c r="A68" s="30" t="str">
        <f>IF(F68&lt;&gt;"",1+MAX($A$6:A67),"")</f>
        <v/>
      </c>
      <c r="B68" s="31"/>
      <c r="C68" s="91" t="s">
        <v>76</v>
      </c>
      <c r="D68" s="41"/>
      <c r="E68" s="28"/>
      <c r="F68" s="32"/>
      <c r="G68" s="29"/>
      <c r="H68" s="29"/>
      <c r="I68" s="29"/>
      <c r="J68" s="33"/>
      <c r="K68" s="34"/>
      <c r="L68" s="35"/>
    </row>
    <row r="69" spans="1:12" s="37" customFormat="1" x14ac:dyDescent="0.25">
      <c r="A69" s="30">
        <f>IF(F69&lt;&gt;"",1+MAX($A$6:A68),"")</f>
        <v>43</v>
      </c>
      <c r="B69" s="31"/>
      <c r="C69" s="37" t="s">
        <v>195</v>
      </c>
      <c r="D69" s="41">
        <v>2</v>
      </c>
      <c r="E69" s="28">
        <v>0.1</v>
      </c>
      <c r="F69" s="32">
        <f t="shared" ref="F69:F76" si="24">D69*(1+E69)</f>
        <v>2.2000000000000002</v>
      </c>
      <c r="G69" s="29" t="s">
        <v>41</v>
      </c>
      <c r="H69" s="29"/>
      <c r="I69" s="29"/>
      <c r="J69" s="33"/>
      <c r="K69" s="34">
        <f t="shared" ref="K69:K76" si="25">J69*F69</f>
        <v>0</v>
      </c>
      <c r="L69" s="35"/>
    </row>
    <row r="70" spans="1:12" s="37" customFormat="1" x14ac:dyDescent="0.25">
      <c r="A70" s="30">
        <f>IF(F70&lt;&gt;"",1+MAX($A$6:A69),"")</f>
        <v>44</v>
      </c>
      <c r="B70" s="31"/>
      <c r="C70" s="37" t="s">
        <v>55</v>
      </c>
      <c r="D70" s="41">
        <v>2</v>
      </c>
      <c r="E70" s="28">
        <v>0.1</v>
      </c>
      <c r="F70" s="32">
        <f t="shared" si="24"/>
        <v>2.2000000000000002</v>
      </c>
      <c r="G70" s="29" t="s">
        <v>41</v>
      </c>
      <c r="H70" s="29"/>
      <c r="I70" s="29"/>
      <c r="J70" s="33"/>
      <c r="K70" s="34">
        <f t="shared" si="25"/>
        <v>0</v>
      </c>
      <c r="L70" s="35"/>
    </row>
    <row r="71" spans="1:12" s="37" customFormat="1" x14ac:dyDescent="0.25">
      <c r="A71" s="30">
        <f>IF(F71&lt;&gt;"",1+MAX($A$6:A70),"")</f>
        <v>45</v>
      </c>
      <c r="B71" s="31"/>
      <c r="C71" s="37" t="s">
        <v>111</v>
      </c>
      <c r="D71" s="41">
        <v>3</v>
      </c>
      <c r="E71" s="28">
        <v>0.1</v>
      </c>
      <c r="F71" s="32">
        <f>D71*(1+E71)</f>
        <v>3.3000000000000003</v>
      </c>
      <c r="G71" s="29" t="s">
        <v>41</v>
      </c>
      <c r="H71" s="29"/>
      <c r="I71" s="29"/>
      <c r="J71" s="33"/>
      <c r="K71" s="34">
        <f>J71*F71</f>
        <v>0</v>
      </c>
      <c r="L71" s="35"/>
    </row>
    <row r="72" spans="1:12" s="37" customFormat="1" x14ac:dyDescent="0.25">
      <c r="A72" s="30">
        <f>IF(F72&lt;&gt;"",1+MAX($A$6:A71),"")</f>
        <v>46</v>
      </c>
      <c r="B72" s="31"/>
      <c r="C72" s="37" t="s">
        <v>196</v>
      </c>
      <c r="D72" s="41">
        <v>4</v>
      </c>
      <c r="E72" s="28">
        <v>0.1</v>
      </c>
      <c r="F72" s="32">
        <f t="shared" ref="F72" si="26">D72*(1+E72)</f>
        <v>4.4000000000000004</v>
      </c>
      <c r="G72" s="29" t="s">
        <v>41</v>
      </c>
      <c r="H72" s="29"/>
      <c r="I72" s="29"/>
      <c r="J72" s="33"/>
      <c r="K72" s="34">
        <f t="shared" ref="K72" si="27">J72*F72</f>
        <v>0</v>
      </c>
      <c r="L72" s="35"/>
    </row>
    <row r="73" spans="1:12" s="37" customFormat="1" x14ac:dyDescent="0.25">
      <c r="A73" s="30">
        <f>IF(F73&lt;&gt;"",1+MAX($A$6:A72),"")</f>
        <v>47</v>
      </c>
      <c r="B73" s="31"/>
      <c r="C73" s="37" t="s">
        <v>71</v>
      </c>
      <c r="D73" s="105">
        <f>49/27</f>
        <v>1.8148148148148149</v>
      </c>
      <c r="E73" s="28">
        <v>0.1</v>
      </c>
      <c r="F73" s="106">
        <f t="shared" si="24"/>
        <v>1.9962962962962965</v>
      </c>
      <c r="G73" s="29" t="s">
        <v>47</v>
      </c>
      <c r="H73" s="29"/>
      <c r="I73" s="29"/>
      <c r="J73" s="33"/>
      <c r="K73" s="34">
        <f t="shared" si="25"/>
        <v>0</v>
      </c>
      <c r="L73" s="35"/>
    </row>
    <row r="74" spans="1:12" s="37" customFormat="1" x14ac:dyDescent="0.25">
      <c r="A74" s="30">
        <f>IF(F74&lt;&gt;"",1+MAX($A$6:A73),"")</f>
        <v>48</v>
      </c>
      <c r="B74" s="31"/>
      <c r="C74" s="37" t="s">
        <v>72</v>
      </c>
      <c r="D74" s="41">
        <v>49</v>
      </c>
      <c r="E74" s="28">
        <v>0.1</v>
      </c>
      <c r="F74" s="32">
        <f t="shared" si="24"/>
        <v>53.900000000000006</v>
      </c>
      <c r="G74" s="29" t="s">
        <v>75</v>
      </c>
      <c r="H74" s="29"/>
      <c r="I74" s="29"/>
      <c r="J74" s="33"/>
      <c r="K74" s="34">
        <f t="shared" si="25"/>
        <v>0</v>
      </c>
      <c r="L74" s="35"/>
    </row>
    <row r="75" spans="1:12" s="37" customFormat="1" x14ac:dyDescent="0.25">
      <c r="A75" s="30">
        <f>IF(F75&lt;&gt;"",1+MAX($A$6:A74),"")</f>
        <v>49</v>
      </c>
      <c r="B75" s="31"/>
      <c r="C75" s="37" t="s">
        <v>73</v>
      </c>
      <c r="D75" s="105">
        <f>135/27</f>
        <v>5</v>
      </c>
      <c r="E75" s="28">
        <v>0.1</v>
      </c>
      <c r="F75" s="106">
        <f t="shared" si="24"/>
        <v>5.5</v>
      </c>
      <c r="G75" s="29" t="s">
        <v>47</v>
      </c>
      <c r="H75" s="29"/>
      <c r="I75" s="29"/>
      <c r="J75" s="33"/>
      <c r="K75" s="34">
        <f t="shared" si="25"/>
        <v>0</v>
      </c>
      <c r="L75" s="35"/>
    </row>
    <row r="76" spans="1:12" s="37" customFormat="1" x14ac:dyDescent="0.25">
      <c r="A76" s="30">
        <f>IF(F76&lt;&gt;"",1+MAX($A$6:A75),"")</f>
        <v>50</v>
      </c>
      <c r="B76" s="31"/>
      <c r="C76" s="37" t="s">
        <v>74</v>
      </c>
      <c r="D76" s="105">
        <f>D75-D73</f>
        <v>3.1851851851851851</v>
      </c>
      <c r="E76" s="28">
        <v>0.1</v>
      </c>
      <c r="F76" s="106">
        <f t="shared" si="24"/>
        <v>3.503703703703704</v>
      </c>
      <c r="G76" s="29" t="s">
        <v>47</v>
      </c>
      <c r="H76" s="29"/>
      <c r="I76" s="29"/>
      <c r="J76" s="33"/>
      <c r="K76" s="34">
        <f t="shared" si="25"/>
        <v>0</v>
      </c>
      <c r="L76" s="35"/>
    </row>
    <row r="77" spans="1:12" s="37" customFormat="1" x14ac:dyDescent="0.25">
      <c r="A77" s="30" t="str">
        <f>IF(F77&lt;&gt;"",1+MAX($A$6:A76),"")</f>
        <v/>
      </c>
      <c r="B77" s="31"/>
      <c r="D77" s="41"/>
      <c r="E77" s="28"/>
      <c r="F77" s="32"/>
      <c r="G77" s="29"/>
      <c r="H77" s="29"/>
      <c r="I77" s="29"/>
      <c r="J77" s="33"/>
      <c r="K77" s="34"/>
      <c r="L77" s="35"/>
    </row>
    <row r="78" spans="1:12" s="37" customFormat="1" x14ac:dyDescent="0.25">
      <c r="A78" s="30" t="str">
        <f>IF(F78&lt;&gt;"",1+MAX($A$6:A77),"")</f>
        <v/>
      </c>
      <c r="B78" s="31"/>
      <c r="C78" s="91" t="s">
        <v>68</v>
      </c>
      <c r="D78" s="41"/>
      <c r="E78" s="28"/>
      <c r="F78" s="32"/>
      <c r="G78" s="29"/>
      <c r="H78" s="29"/>
      <c r="I78" s="29"/>
      <c r="J78" s="33"/>
      <c r="K78" s="34"/>
      <c r="L78" s="35"/>
    </row>
    <row r="79" spans="1:12" s="37" customFormat="1" x14ac:dyDescent="0.25">
      <c r="A79" s="30">
        <f>IF(F79&lt;&gt;"",1+MAX($A$6:A78),"")</f>
        <v>51</v>
      </c>
      <c r="B79" s="31"/>
      <c r="C79" s="45" t="s">
        <v>122</v>
      </c>
      <c r="D79" s="41">
        <v>50</v>
      </c>
      <c r="E79" s="28">
        <v>0.1</v>
      </c>
      <c r="F79" s="32">
        <f t="shared" ref="F79:F93" si="28">D79*(1+E79)</f>
        <v>55.000000000000007</v>
      </c>
      <c r="G79" s="29" t="s">
        <v>42</v>
      </c>
      <c r="H79" s="29"/>
      <c r="I79" s="29"/>
      <c r="J79" s="33"/>
      <c r="K79" s="34">
        <f t="shared" ref="K79:K93" si="29">J79*F79</f>
        <v>0</v>
      </c>
      <c r="L79" s="35"/>
    </row>
    <row r="80" spans="1:12" s="37" customFormat="1" x14ac:dyDescent="0.25">
      <c r="A80" s="30" t="str">
        <f>IF(F80&lt;&gt;"",1+MAX($A$6:A79),"")</f>
        <v/>
      </c>
      <c r="B80" s="31"/>
      <c r="D80" s="41"/>
      <c r="E80" s="28"/>
      <c r="F80" s="32"/>
      <c r="G80" s="29"/>
      <c r="H80" s="29"/>
      <c r="I80" s="29"/>
      <c r="J80" s="33"/>
      <c r="K80" s="34"/>
      <c r="L80" s="35"/>
    </row>
    <row r="81" spans="1:12" s="37" customFormat="1" x14ac:dyDescent="0.25">
      <c r="A81" s="30" t="str">
        <f>IF(F81&lt;&gt;"",1+MAX($A$6:A80),"")</f>
        <v/>
      </c>
      <c r="B81" s="31"/>
      <c r="C81" s="91" t="s">
        <v>69</v>
      </c>
      <c r="D81" s="41"/>
      <c r="E81" s="28"/>
      <c r="F81" s="32"/>
      <c r="G81" s="29"/>
      <c r="H81" s="29"/>
      <c r="I81" s="29"/>
      <c r="J81" s="33"/>
      <c r="K81" s="34"/>
      <c r="L81" s="35"/>
    </row>
    <row r="82" spans="1:12" s="37" customFormat="1" x14ac:dyDescent="0.25">
      <c r="A82" s="30">
        <f>IF(F82&lt;&gt;"",1+MAX($A$6:A81),"")</f>
        <v>52</v>
      </c>
      <c r="B82" s="31"/>
      <c r="C82" s="37" t="s">
        <v>53</v>
      </c>
      <c r="D82" s="118">
        <v>75</v>
      </c>
      <c r="E82" s="28">
        <v>0.1</v>
      </c>
      <c r="F82" s="32">
        <f t="shared" si="28"/>
        <v>82.5</v>
      </c>
      <c r="G82" s="29" t="s">
        <v>40</v>
      </c>
      <c r="H82" s="29"/>
      <c r="I82" s="29"/>
      <c r="J82" s="33"/>
      <c r="K82" s="34">
        <f t="shared" si="29"/>
        <v>0</v>
      </c>
      <c r="L82" s="35"/>
    </row>
    <row r="83" spans="1:12" s="37" customFormat="1" x14ac:dyDescent="0.25">
      <c r="A83" s="30">
        <f>IF(F83&lt;&gt;"",1+MAX($A$6:A82),"")</f>
        <v>53</v>
      </c>
      <c r="B83" s="31"/>
      <c r="C83" s="37" t="s">
        <v>123</v>
      </c>
      <c r="D83" s="118">
        <v>9</v>
      </c>
      <c r="E83" s="28">
        <v>0</v>
      </c>
      <c r="F83" s="32">
        <f t="shared" ref="F83" si="30">D83*(1+E83)</f>
        <v>9</v>
      </c>
      <c r="G83" s="29" t="s">
        <v>40</v>
      </c>
      <c r="H83" s="29"/>
      <c r="I83" s="29"/>
      <c r="J83" s="33"/>
      <c r="K83" s="34">
        <f t="shared" ref="K83" si="31">J83*F83</f>
        <v>0</v>
      </c>
      <c r="L83" s="35"/>
    </row>
    <row r="84" spans="1:12" s="37" customFormat="1" x14ac:dyDescent="0.25">
      <c r="A84" s="30">
        <f>IF(F84&lt;&gt;"",1+MAX($A$6:A83),"")</f>
        <v>54</v>
      </c>
      <c r="B84" s="31"/>
      <c r="C84" s="37" t="s">
        <v>54</v>
      </c>
      <c r="D84" s="118">
        <v>2</v>
      </c>
      <c r="E84" s="28">
        <v>0</v>
      </c>
      <c r="F84" s="32">
        <f>D84*(1+E84)</f>
        <v>2</v>
      </c>
      <c r="G84" s="29" t="s">
        <v>41</v>
      </c>
      <c r="H84" s="29"/>
      <c r="I84" s="29"/>
      <c r="J84" s="33"/>
      <c r="K84" s="34">
        <f>J84*F84</f>
        <v>0</v>
      </c>
      <c r="L84" s="35"/>
    </row>
    <row r="85" spans="1:12" s="37" customFormat="1" x14ac:dyDescent="0.25">
      <c r="A85" s="30">
        <f>IF(F85&lt;&gt;"",1+MAX($A$6:A84),"")</f>
        <v>55</v>
      </c>
      <c r="B85" s="31"/>
      <c r="C85" s="37" t="s">
        <v>103</v>
      </c>
      <c r="D85" s="118">
        <v>860</v>
      </c>
      <c r="E85" s="28">
        <v>0.1</v>
      </c>
      <c r="F85" s="32">
        <f>D85*(1+E85)</f>
        <v>946.00000000000011</v>
      </c>
      <c r="G85" s="29" t="s">
        <v>41</v>
      </c>
      <c r="H85" s="29"/>
      <c r="I85" s="29"/>
      <c r="J85" s="33"/>
      <c r="K85" s="34">
        <f>J85*F85</f>
        <v>0</v>
      </c>
      <c r="L85" s="35"/>
    </row>
    <row r="86" spans="1:12" s="37" customFormat="1" x14ac:dyDescent="0.25">
      <c r="A86" s="30" t="str">
        <f>IF(F86&lt;&gt;"",1+MAX($A$6:A85),"")</f>
        <v/>
      </c>
      <c r="B86" s="31"/>
      <c r="D86" s="41"/>
      <c r="E86" s="28"/>
      <c r="F86" s="32"/>
      <c r="G86" s="29"/>
      <c r="H86" s="29"/>
      <c r="I86" s="29"/>
      <c r="J86" s="33"/>
      <c r="K86" s="34"/>
      <c r="L86" s="35"/>
    </row>
    <row r="87" spans="1:12" s="37" customFormat="1" x14ac:dyDescent="0.25">
      <c r="A87" s="30" t="str">
        <f>IF(F87&lt;&gt;"",1+MAX($A$6:A86),"")</f>
        <v/>
      </c>
      <c r="B87" s="31"/>
      <c r="C87" s="91" t="s">
        <v>65</v>
      </c>
      <c r="D87" s="41"/>
      <c r="E87" s="28"/>
      <c r="F87" s="32"/>
      <c r="G87" s="29"/>
      <c r="H87" s="29"/>
      <c r="I87" s="29"/>
      <c r="J87" s="33"/>
      <c r="K87" s="34"/>
      <c r="L87" s="35"/>
    </row>
    <row r="88" spans="1:12" s="37" customFormat="1" x14ac:dyDescent="0.25">
      <c r="A88" s="30">
        <f>IF(F88&lt;&gt;"",1+MAX($A$6:A87),"")</f>
        <v>56</v>
      </c>
      <c r="B88" s="31"/>
      <c r="C88" s="37" t="s">
        <v>67</v>
      </c>
      <c r="D88" s="41">
        <v>1540</v>
      </c>
      <c r="E88" s="28">
        <v>0.1</v>
      </c>
      <c r="F88" s="32">
        <f t="shared" si="28"/>
        <v>1694.0000000000002</v>
      </c>
      <c r="G88" s="29" t="s">
        <v>42</v>
      </c>
      <c r="H88" s="29"/>
      <c r="I88" s="29"/>
      <c r="J88" s="33"/>
      <c r="K88" s="34">
        <f t="shared" si="29"/>
        <v>0</v>
      </c>
      <c r="L88" s="35"/>
    </row>
    <row r="89" spans="1:12" s="37" customFormat="1" x14ac:dyDescent="0.25">
      <c r="A89" s="30">
        <f>IF(F89&lt;&gt;"",1+MAX($A$6:A88),"")</f>
        <v>57</v>
      </c>
      <c r="B89" s="31"/>
      <c r="C89" s="37" t="s">
        <v>179</v>
      </c>
      <c r="D89" s="41">
        <f>D88*1.5/27*0.33</f>
        <v>28.233333333333334</v>
      </c>
      <c r="E89" s="28">
        <v>0.1</v>
      </c>
      <c r="F89" s="32">
        <f t="shared" si="28"/>
        <v>31.056666666666672</v>
      </c>
      <c r="G89" s="29" t="s">
        <v>64</v>
      </c>
      <c r="H89" s="29"/>
      <c r="I89" s="29"/>
      <c r="J89" s="33"/>
      <c r="K89" s="34">
        <f t="shared" si="29"/>
        <v>0</v>
      </c>
      <c r="L89" s="35"/>
    </row>
    <row r="90" spans="1:12" s="37" customFormat="1" x14ac:dyDescent="0.25">
      <c r="A90" s="30">
        <f>IF(F90&lt;&gt;"",1+MAX($A$6:A89),"")</f>
        <v>58</v>
      </c>
      <c r="B90" s="31"/>
      <c r="C90" s="37" t="s">
        <v>180</v>
      </c>
      <c r="D90" s="41">
        <f>D88*0.33/27</f>
        <v>18.822222222222223</v>
      </c>
      <c r="E90" s="28">
        <v>0.1</v>
      </c>
      <c r="F90" s="32">
        <f t="shared" si="28"/>
        <v>20.704444444444448</v>
      </c>
      <c r="G90" s="29" t="s">
        <v>47</v>
      </c>
      <c r="H90" s="29"/>
      <c r="I90" s="29"/>
      <c r="J90" s="33"/>
      <c r="K90" s="34">
        <f t="shared" si="29"/>
        <v>0</v>
      </c>
      <c r="L90" s="35"/>
    </row>
    <row r="91" spans="1:12" s="37" customFormat="1" x14ac:dyDescent="0.25">
      <c r="A91" s="30">
        <f>IF(F91&lt;&gt;"",1+MAX($A$6:A90),"")</f>
        <v>59</v>
      </c>
      <c r="B91" s="31"/>
      <c r="C91" s="37" t="s">
        <v>66</v>
      </c>
      <c r="D91" s="41">
        <v>580</v>
      </c>
      <c r="E91" s="28">
        <v>0.1</v>
      </c>
      <c r="F91" s="32">
        <f t="shared" si="28"/>
        <v>638</v>
      </c>
      <c r="G91" s="29" t="s">
        <v>40</v>
      </c>
      <c r="H91" s="29"/>
      <c r="I91" s="29"/>
      <c r="J91" s="33"/>
      <c r="K91" s="34">
        <f t="shared" si="29"/>
        <v>0</v>
      </c>
      <c r="L91" s="35"/>
    </row>
    <row r="92" spans="1:12" s="37" customFormat="1" x14ac:dyDescent="0.25">
      <c r="A92" s="30">
        <f>IF(F92&lt;&gt;"",1+MAX($A$6:A91),"")</f>
        <v>60</v>
      </c>
      <c r="B92" s="31"/>
      <c r="C92" s="37" t="s">
        <v>62</v>
      </c>
      <c r="D92" s="41">
        <f>0.16*D88</f>
        <v>246.4</v>
      </c>
      <c r="E92" s="28">
        <v>0.1</v>
      </c>
      <c r="F92" s="32">
        <f t="shared" si="28"/>
        <v>271.04000000000002</v>
      </c>
      <c r="G92" s="29" t="s">
        <v>40</v>
      </c>
      <c r="H92" s="29"/>
      <c r="I92" s="29"/>
      <c r="J92" s="33"/>
      <c r="K92" s="34">
        <f t="shared" si="29"/>
        <v>0</v>
      </c>
      <c r="L92" s="35"/>
    </row>
    <row r="93" spans="1:12" s="37" customFormat="1" x14ac:dyDescent="0.25">
      <c r="A93" s="30">
        <f>IF(F93&lt;&gt;"",1+MAX($A$6:A92),"")</f>
        <v>61</v>
      </c>
      <c r="B93" s="31"/>
      <c r="C93" s="37" t="s">
        <v>63</v>
      </c>
      <c r="D93" s="41">
        <f>D91</f>
        <v>580</v>
      </c>
      <c r="E93" s="28">
        <v>0.1</v>
      </c>
      <c r="F93" s="32">
        <f t="shared" si="28"/>
        <v>638</v>
      </c>
      <c r="G93" s="29" t="s">
        <v>40</v>
      </c>
      <c r="H93" s="29"/>
      <c r="I93" s="29"/>
      <c r="J93" s="33"/>
      <c r="K93" s="34">
        <f t="shared" si="29"/>
        <v>0</v>
      </c>
      <c r="L93" s="35"/>
    </row>
    <row r="94" spans="1:12" s="37" customFormat="1" x14ac:dyDescent="0.25">
      <c r="A94" s="30" t="str">
        <f>IF(F94&lt;&gt;"",1+MAX($A$6:A93),"")</f>
        <v/>
      </c>
      <c r="B94" s="31"/>
      <c r="D94" s="41"/>
      <c r="E94" s="28"/>
      <c r="F94" s="32"/>
      <c r="G94" s="29"/>
      <c r="H94" s="29"/>
      <c r="I94" s="29"/>
      <c r="J94" s="33"/>
      <c r="K94" s="34"/>
      <c r="L94" s="35"/>
    </row>
    <row r="95" spans="1:12" s="37" customFormat="1" x14ac:dyDescent="0.25">
      <c r="A95" s="30" t="str">
        <f>IF(F95&lt;&gt;"",1+MAX($A$6:A94),"")</f>
        <v/>
      </c>
      <c r="B95" s="31"/>
      <c r="C95" s="91" t="s">
        <v>128</v>
      </c>
      <c r="D95" s="41"/>
      <c r="E95" s="28"/>
      <c r="F95" s="32"/>
      <c r="G95" s="29"/>
      <c r="H95" s="29"/>
      <c r="I95" s="29"/>
      <c r="J95" s="33"/>
      <c r="K95" s="34"/>
      <c r="L95" s="35"/>
    </row>
    <row r="96" spans="1:12" s="37" customFormat="1" x14ac:dyDescent="0.25">
      <c r="A96" s="30">
        <f>IF(F96&lt;&gt;"",1+MAX($A$6:A95),"")</f>
        <v>62</v>
      </c>
      <c r="B96" s="31"/>
      <c r="C96" s="37" t="s">
        <v>67</v>
      </c>
      <c r="D96" s="41">
        <v>180</v>
      </c>
      <c r="E96" s="28">
        <v>0.1</v>
      </c>
      <c r="F96" s="32">
        <f t="shared" ref="F96:F101" si="32">D96*(1+E96)</f>
        <v>198.00000000000003</v>
      </c>
      <c r="G96" s="29" t="s">
        <v>42</v>
      </c>
      <c r="H96" s="29"/>
      <c r="I96" s="29"/>
      <c r="J96" s="33"/>
      <c r="K96" s="34">
        <f t="shared" ref="K96:K101" si="33">J96*F96</f>
        <v>0</v>
      </c>
      <c r="L96" s="35"/>
    </row>
    <row r="97" spans="1:12" s="37" customFormat="1" x14ac:dyDescent="0.25">
      <c r="A97" s="30">
        <f>IF(F97&lt;&gt;"",1+MAX($A$6:A96),"")</f>
        <v>63</v>
      </c>
      <c r="B97" s="31"/>
      <c r="C97" s="37" t="s">
        <v>179</v>
      </c>
      <c r="D97" s="41">
        <f>D96*1.5/27*0.33</f>
        <v>3.3000000000000003</v>
      </c>
      <c r="E97" s="28">
        <v>0.1</v>
      </c>
      <c r="F97" s="32">
        <f t="shared" si="32"/>
        <v>3.6300000000000008</v>
      </c>
      <c r="G97" s="29" t="s">
        <v>64</v>
      </c>
      <c r="H97" s="29"/>
      <c r="I97" s="29"/>
      <c r="J97" s="33"/>
      <c r="K97" s="34">
        <f t="shared" si="33"/>
        <v>0</v>
      </c>
      <c r="L97" s="35"/>
    </row>
    <row r="98" spans="1:12" s="37" customFormat="1" x14ac:dyDescent="0.25">
      <c r="A98" s="30">
        <f>IF(F98&lt;&gt;"",1+MAX($A$6:A97),"")</f>
        <v>64</v>
      </c>
      <c r="B98" s="31"/>
      <c r="C98" s="37" t="s">
        <v>180</v>
      </c>
      <c r="D98" s="41">
        <f>D96*0.33/27</f>
        <v>2.2000000000000002</v>
      </c>
      <c r="E98" s="28">
        <v>0.1</v>
      </c>
      <c r="F98" s="32">
        <f t="shared" si="32"/>
        <v>2.4200000000000004</v>
      </c>
      <c r="G98" s="29" t="s">
        <v>47</v>
      </c>
      <c r="H98" s="29"/>
      <c r="I98" s="29"/>
      <c r="J98" s="33"/>
      <c r="K98" s="34">
        <f t="shared" si="33"/>
        <v>0</v>
      </c>
      <c r="L98" s="35"/>
    </row>
    <row r="99" spans="1:12" s="37" customFormat="1" x14ac:dyDescent="0.25">
      <c r="A99" s="30">
        <f>IF(F99&lt;&gt;"",1+MAX($A$6:A98),"")</f>
        <v>65</v>
      </c>
      <c r="B99" s="31"/>
      <c r="C99" s="37" t="s">
        <v>66</v>
      </c>
      <c r="D99" s="41">
        <v>95</v>
      </c>
      <c r="E99" s="28">
        <v>0.1</v>
      </c>
      <c r="F99" s="32">
        <f t="shared" si="32"/>
        <v>104.50000000000001</v>
      </c>
      <c r="G99" s="29" t="s">
        <v>40</v>
      </c>
      <c r="H99" s="29"/>
      <c r="I99" s="29"/>
      <c r="J99" s="33"/>
      <c r="K99" s="34">
        <f t="shared" si="33"/>
        <v>0</v>
      </c>
      <c r="L99" s="35"/>
    </row>
    <row r="100" spans="1:12" s="37" customFormat="1" x14ac:dyDescent="0.25">
      <c r="A100" s="30">
        <f>IF(F100&lt;&gt;"",1+MAX($A$6:A99),"")</f>
        <v>66</v>
      </c>
      <c r="B100" s="31"/>
      <c r="C100" s="37" t="s">
        <v>62</v>
      </c>
      <c r="D100" s="41">
        <f>0.16*D96</f>
        <v>28.8</v>
      </c>
      <c r="E100" s="28">
        <v>0.1</v>
      </c>
      <c r="F100" s="32">
        <f t="shared" si="32"/>
        <v>31.680000000000003</v>
      </c>
      <c r="G100" s="29" t="s">
        <v>40</v>
      </c>
      <c r="H100" s="29"/>
      <c r="I100" s="29"/>
      <c r="J100" s="33"/>
      <c r="K100" s="34">
        <f t="shared" si="33"/>
        <v>0</v>
      </c>
      <c r="L100" s="35"/>
    </row>
    <row r="101" spans="1:12" s="37" customFormat="1" x14ac:dyDescent="0.25">
      <c r="A101" s="30">
        <f>IF(F101&lt;&gt;"",1+MAX($A$6:A100),"")</f>
        <v>67</v>
      </c>
      <c r="B101" s="31"/>
      <c r="C101" s="37" t="s">
        <v>63</v>
      </c>
      <c r="D101" s="41">
        <f>D99</f>
        <v>95</v>
      </c>
      <c r="E101" s="28">
        <v>0.1</v>
      </c>
      <c r="F101" s="32">
        <f t="shared" si="32"/>
        <v>104.50000000000001</v>
      </c>
      <c r="G101" s="29" t="s">
        <v>40</v>
      </c>
      <c r="H101" s="29"/>
      <c r="I101" s="29"/>
      <c r="J101" s="33"/>
      <c r="K101" s="34">
        <f t="shared" si="33"/>
        <v>0</v>
      </c>
      <c r="L101" s="35"/>
    </row>
    <row r="102" spans="1:12" s="37" customFormat="1" x14ac:dyDescent="0.25">
      <c r="A102" s="30" t="str">
        <f>IF(F102&lt;&gt;"",1+MAX($A$6:A101),"")</f>
        <v/>
      </c>
      <c r="B102" s="31"/>
      <c r="D102" s="41"/>
      <c r="E102" s="28"/>
      <c r="F102" s="32"/>
      <c r="G102" s="29"/>
      <c r="H102" s="29"/>
      <c r="I102" s="29"/>
      <c r="J102" s="33"/>
      <c r="K102" s="34"/>
      <c r="L102" s="35"/>
    </row>
    <row r="103" spans="1:12" s="37" customFormat="1" x14ac:dyDescent="0.25">
      <c r="A103" s="30" t="str">
        <f>IF(F103&lt;&gt;"",1+MAX($A$6:A102),"")</f>
        <v/>
      </c>
      <c r="B103" s="31"/>
      <c r="C103" s="91" t="s">
        <v>130</v>
      </c>
      <c r="D103" s="41"/>
      <c r="E103" s="28"/>
      <c r="F103" s="32"/>
      <c r="G103" s="29"/>
      <c r="H103" s="29"/>
      <c r="I103" s="29"/>
      <c r="J103" s="33"/>
      <c r="K103" s="34"/>
      <c r="L103" s="35"/>
    </row>
    <row r="104" spans="1:12" s="37" customFormat="1" x14ac:dyDescent="0.25">
      <c r="A104" s="30">
        <f>IF(F104&lt;&gt;"",1+MAX($A$6:A103),"")</f>
        <v>68</v>
      </c>
      <c r="B104" s="31"/>
      <c r="C104" s="37" t="s">
        <v>176</v>
      </c>
      <c r="D104" s="41">
        <v>1065</v>
      </c>
      <c r="E104" s="28">
        <v>0.1</v>
      </c>
      <c r="F104" s="32">
        <f t="shared" ref="F104:F109" si="34">D104*(1+E104)</f>
        <v>1171.5</v>
      </c>
      <c r="G104" s="29" t="s">
        <v>42</v>
      </c>
      <c r="H104" s="29"/>
      <c r="I104" s="29"/>
      <c r="J104" s="33"/>
      <c r="K104" s="34">
        <f t="shared" ref="K104:K109" si="35">J104*F104</f>
        <v>0</v>
      </c>
      <c r="L104" s="35"/>
    </row>
    <row r="105" spans="1:12" s="37" customFormat="1" x14ac:dyDescent="0.25">
      <c r="A105" s="30">
        <f>IF(F105&lt;&gt;"",1+MAX($A$6:A104),"")</f>
        <v>69</v>
      </c>
      <c r="B105" s="31"/>
      <c r="C105" s="37" t="s">
        <v>177</v>
      </c>
      <c r="D105" s="41">
        <v>1065</v>
      </c>
      <c r="E105" s="28">
        <v>0.1</v>
      </c>
      <c r="F105" s="32">
        <f t="shared" si="34"/>
        <v>1171.5</v>
      </c>
      <c r="G105" s="29" t="s">
        <v>42</v>
      </c>
      <c r="H105" s="29"/>
      <c r="I105" s="29"/>
      <c r="J105" s="33"/>
      <c r="K105" s="34">
        <f t="shared" si="35"/>
        <v>0</v>
      </c>
      <c r="L105" s="35"/>
    </row>
    <row r="106" spans="1:12" s="37" customFormat="1" x14ac:dyDescent="0.25">
      <c r="A106" s="30">
        <f>IF(F106&lt;&gt;"",1+MAX($A$6:A105),"")</f>
        <v>70</v>
      </c>
      <c r="B106" s="31"/>
      <c r="C106" s="37" t="s">
        <v>178</v>
      </c>
      <c r="D106" s="41">
        <f>D104*0.33/27</f>
        <v>13.016666666666666</v>
      </c>
      <c r="E106" s="28">
        <v>0.1</v>
      </c>
      <c r="F106" s="32">
        <f t="shared" si="34"/>
        <v>14.318333333333333</v>
      </c>
      <c r="G106" s="29" t="s">
        <v>47</v>
      </c>
      <c r="H106" s="29"/>
      <c r="I106" s="29"/>
      <c r="J106" s="33"/>
      <c r="K106" s="34">
        <f t="shared" si="35"/>
        <v>0</v>
      </c>
      <c r="L106" s="35"/>
    </row>
    <row r="107" spans="1:12" s="37" customFormat="1" x14ac:dyDescent="0.25">
      <c r="A107" s="30">
        <f>IF(F107&lt;&gt;"",1+MAX($A$6:A106),"")</f>
        <v>71</v>
      </c>
      <c r="B107" s="31"/>
      <c r="C107" s="37" t="s">
        <v>61</v>
      </c>
      <c r="D107" s="41">
        <v>230</v>
      </c>
      <c r="E107" s="28">
        <v>0.1</v>
      </c>
      <c r="F107" s="32">
        <f t="shared" si="34"/>
        <v>253.00000000000003</v>
      </c>
      <c r="G107" s="29" t="s">
        <v>40</v>
      </c>
      <c r="H107" s="29"/>
      <c r="I107" s="29"/>
      <c r="J107" s="33"/>
      <c r="K107" s="34">
        <f t="shared" si="35"/>
        <v>0</v>
      </c>
      <c r="L107" s="35"/>
    </row>
    <row r="108" spans="1:12" s="37" customFormat="1" x14ac:dyDescent="0.25">
      <c r="A108" s="30">
        <f>IF(F108&lt;&gt;"",1+MAX($A$6:A107),"")</f>
        <v>72</v>
      </c>
      <c r="B108" s="31"/>
      <c r="C108" s="37" t="s">
        <v>62</v>
      </c>
      <c r="D108" s="41">
        <f>0.16*D104</f>
        <v>170.4</v>
      </c>
      <c r="E108" s="28">
        <v>0.1</v>
      </c>
      <c r="F108" s="32">
        <f t="shared" si="34"/>
        <v>187.44000000000003</v>
      </c>
      <c r="G108" s="29" t="s">
        <v>40</v>
      </c>
      <c r="H108" s="29"/>
      <c r="I108" s="29"/>
      <c r="J108" s="33"/>
      <c r="K108" s="34">
        <f t="shared" si="35"/>
        <v>0</v>
      </c>
      <c r="L108" s="35"/>
    </row>
    <row r="109" spans="1:12" s="37" customFormat="1" x14ac:dyDescent="0.25">
      <c r="A109" s="30">
        <f>IF(F109&lt;&gt;"",1+MAX($A$6:A108),"")</f>
        <v>73</v>
      </c>
      <c r="B109" s="31"/>
      <c r="C109" s="37" t="s">
        <v>63</v>
      </c>
      <c r="D109" s="41">
        <f>D107</f>
        <v>230</v>
      </c>
      <c r="E109" s="28">
        <v>0.1</v>
      </c>
      <c r="F109" s="32">
        <f t="shared" si="34"/>
        <v>253.00000000000003</v>
      </c>
      <c r="G109" s="29" t="s">
        <v>40</v>
      </c>
      <c r="H109" s="29"/>
      <c r="I109" s="29"/>
      <c r="J109" s="33"/>
      <c r="K109" s="34">
        <f t="shared" si="35"/>
        <v>0</v>
      </c>
      <c r="L109" s="35"/>
    </row>
    <row r="110" spans="1:12" s="37" customFormat="1" x14ac:dyDescent="0.25">
      <c r="A110" s="30" t="str">
        <f>IF(F110&lt;&gt;"",1+MAX($A$6:A109),"")</f>
        <v/>
      </c>
      <c r="B110" s="31"/>
      <c r="D110" s="41"/>
      <c r="E110" s="28"/>
      <c r="F110" s="32"/>
      <c r="G110" s="29"/>
      <c r="H110" s="29"/>
      <c r="I110" s="29"/>
      <c r="J110" s="33"/>
      <c r="K110" s="34"/>
      <c r="L110" s="35"/>
    </row>
    <row r="111" spans="1:12" s="37" customFormat="1" x14ac:dyDescent="0.25">
      <c r="A111" s="30" t="str">
        <f>IF(F111&lt;&gt;"",1+MAX($A$6:A110),"")</f>
        <v/>
      </c>
      <c r="B111" s="31"/>
      <c r="C111" s="91" t="s">
        <v>131</v>
      </c>
      <c r="D111" s="41"/>
      <c r="E111" s="28"/>
      <c r="F111" s="32"/>
      <c r="G111" s="29"/>
      <c r="H111" s="29"/>
      <c r="I111" s="29"/>
      <c r="J111" s="33"/>
      <c r="K111" s="34"/>
      <c r="L111" s="35"/>
    </row>
    <row r="112" spans="1:12" s="37" customFormat="1" x14ac:dyDescent="0.25">
      <c r="A112" s="30">
        <f>IF(F112&lt;&gt;"",1+MAX($A$6:A111),"")</f>
        <v>74</v>
      </c>
      <c r="B112" s="31"/>
      <c r="C112" s="37" t="s">
        <v>176</v>
      </c>
      <c r="D112" s="41">
        <v>705</v>
      </c>
      <c r="E112" s="28">
        <v>0.1</v>
      </c>
      <c r="F112" s="32">
        <f t="shared" ref="F112:F117" si="36">D112*(1+E112)</f>
        <v>775.50000000000011</v>
      </c>
      <c r="G112" s="29" t="s">
        <v>42</v>
      </c>
      <c r="H112" s="29"/>
      <c r="I112" s="29"/>
      <c r="J112" s="33"/>
      <c r="K112" s="34">
        <f t="shared" ref="K112:K117" si="37">J112*F112</f>
        <v>0</v>
      </c>
      <c r="L112" s="35"/>
    </row>
    <row r="113" spans="1:12" s="37" customFormat="1" x14ac:dyDescent="0.25">
      <c r="A113" s="30">
        <f>IF(F113&lt;&gt;"",1+MAX($A$6:A112),"")</f>
        <v>75</v>
      </c>
      <c r="B113" s="31"/>
      <c r="C113" s="37" t="s">
        <v>177</v>
      </c>
      <c r="D113" s="41">
        <v>705</v>
      </c>
      <c r="E113" s="28">
        <v>0.1</v>
      </c>
      <c r="F113" s="32">
        <f t="shared" si="36"/>
        <v>775.50000000000011</v>
      </c>
      <c r="G113" s="29" t="s">
        <v>42</v>
      </c>
      <c r="H113" s="29"/>
      <c r="I113" s="29"/>
      <c r="J113" s="33"/>
      <c r="K113" s="34">
        <f t="shared" si="37"/>
        <v>0</v>
      </c>
      <c r="L113" s="35"/>
    </row>
    <row r="114" spans="1:12" s="37" customFormat="1" x14ac:dyDescent="0.25">
      <c r="A114" s="30">
        <f>IF(F114&lt;&gt;"",1+MAX($A$6:A113),"")</f>
        <v>76</v>
      </c>
      <c r="B114" s="31"/>
      <c r="C114" s="37" t="s">
        <v>178</v>
      </c>
      <c r="D114" s="41">
        <f>D112*0.33/27</f>
        <v>8.6166666666666671</v>
      </c>
      <c r="E114" s="28">
        <v>0.1</v>
      </c>
      <c r="F114" s="32">
        <f t="shared" si="36"/>
        <v>9.4783333333333353</v>
      </c>
      <c r="G114" s="29" t="s">
        <v>47</v>
      </c>
      <c r="H114" s="29"/>
      <c r="I114" s="29"/>
      <c r="J114" s="33"/>
      <c r="K114" s="34">
        <f t="shared" si="37"/>
        <v>0</v>
      </c>
      <c r="L114" s="35"/>
    </row>
    <row r="115" spans="1:12" s="37" customFormat="1" x14ac:dyDescent="0.25">
      <c r="A115" s="30">
        <f>IF(F115&lt;&gt;"",1+MAX($A$6:A114),"")</f>
        <v>77</v>
      </c>
      <c r="B115" s="31"/>
      <c r="C115" s="37" t="s">
        <v>61</v>
      </c>
      <c r="D115" s="41">
        <v>205</v>
      </c>
      <c r="E115" s="28">
        <v>0.1</v>
      </c>
      <c r="F115" s="32">
        <f t="shared" si="36"/>
        <v>225.50000000000003</v>
      </c>
      <c r="G115" s="29" t="s">
        <v>40</v>
      </c>
      <c r="H115" s="29"/>
      <c r="I115" s="29"/>
      <c r="J115" s="33"/>
      <c r="K115" s="34">
        <f t="shared" si="37"/>
        <v>0</v>
      </c>
      <c r="L115" s="35"/>
    </row>
    <row r="116" spans="1:12" s="37" customFormat="1" x14ac:dyDescent="0.25">
      <c r="A116" s="30">
        <f>IF(F116&lt;&gt;"",1+MAX($A$6:A115),"")</f>
        <v>78</v>
      </c>
      <c r="B116" s="31"/>
      <c r="C116" s="37" t="s">
        <v>62</v>
      </c>
      <c r="D116" s="41">
        <f>0.16*D112</f>
        <v>112.8</v>
      </c>
      <c r="E116" s="28">
        <v>0.1</v>
      </c>
      <c r="F116" s="32">
        <f t="shared" si="36"/>
        <v>124.08000000000001</v>
      </c>
      <c r="G116" s="29" t="s">
        <v>40</v>
      </c>
      <c r="H116" s="29"/>
      <c r="I116" s="29"/>
      <c r="J116" s="33"/>
      <c r="K116" s="34">
        <f t="shared" si="37"/>
        <v>0</v>
      </c>
      <c r="L116" s="35"/>
    </row>
    <row r="117" spans="1:12" s="37" customFormat="1" x14ac:dyDescent="0.25">
      <c r="A117" s="30">
        <f>IF(F117&lt;&gt;"",1+MAX($A$6:A116),"")</f>
        <v>79</v>
      </c>
      <c r="B117" s="31"/>
      <c r="C117" s="37" t="s">
        <v>63</v>
      </c>
      <c r="D117" s="41">
        <f>D115</f>
        <v>205</v>
      </c>
      <c r="E117" s="28">
        <v>0.1</v>
      </c>
      <c r="F117" s="32">
        <f t="shared" si="36"/>
        <v>225.50000000000003</v>
      </c>
      <c r="G117" s="29" t="s">
        <v>40</v>
      </c>
      <c r="H117" s="29"/>
      <c r="I117" s="29"/>
      <c r="J117" s="33"/>
      <c r="K117" s="34">
        <f t="shared" si="37"/>
        <v>0</v>
      </c>
      <c r="L117" s="35"/>
    </row>
    <row r="118" spans="1:12" s="37" customFormat="1" x14ac:dyDescent="0.25">
      <c r="A118" s="30" t="str">
        <f>IF(F118&lt;&gt;"",1+MAX($A$6:A117),"")</f>
        <v/>
      </c>
      <c r="B118" s="31"/>
      <c r="D118" s="41"/>
      <c r="E118" s="28"/>
      <c r="F118" s="32"/>
      <c r="G118" s="29"/>
      <c r="H118" s="29"/>
      <c r="I118" s="29"/>
      <c r="J118" s="33"/>
      <c r="K118" s="34"/>
      <c r="L118" s="35"/>
    </row>
    <row r="119" spans="1:12" s="6" customFormat="1" x14ac:dyDescent="0.25">
      <c r="A119" s="30" t="str">
        <f>IF(F119&lt;&gt;"",1+MAX($A$6:A118),"")</f>
        <v/>
      </c>
      <c r="B119" s="11"/>
      <c r="C119" s="91" t="s">
        <v>186</v>
      </c>
      <c r="D119" s="41"/>
      <c r="E119" s="28"/>
      <c r="F119" s="32"/>
      <c r="G119" s="29"/>
      <c r="H119" s="29"/>
      <c r="I119" s="29"/>
      <c r="J119" s="33"/>
      <c r="K119" s="34"/>
      <c r="L119" s="5"/>
    </row>
    <row r="120" spans="1:12" s="37" customFormat="1" x14ac:dyDescent="0.25">
      <c r="A120" s="30">
        <f>IF(F120&lt;&gt;"",1+MAX($A$6:A119),"")</f>
        <v>80</v>
      </c>
      <c r="B120" s="31"/>
      <c r="C120" s="37" t="s">
        <v>187</v>
      </c>
      <c r="D120" s="41">
        <v>50</v>
      </c>
      <c r="E120" s="28">
        <v>0.1</v>
      </c>
      <c r="F120" s="32">
        <f t="shared" ref="F120:F162" si="38">D120*(1+E120)</f>
        <v>55.000000000000007</v>
      </c>
      <c r="G120" s="29" t="s">
        <v>42</v>
      </c>
      <c r="H120" s="29"/>
      <c r="I120" s="29"/>
      <c r="J120" s="33"/>
      <c r="K120" s="34">
        <f t="shared" ref="K120:K162" si="39">J120*F120</f>
        <v>0</v>
      </c>
      <c r="L120" s="35"/>
    </row>
    <row r="121" spans="1:12" s="37" customFormat="1" x14ac:dyDescent="0.25">
      <c r="A121" s="30">
        <f>IF(F121&lt;&gt;"",1+MAX($A$6:A120),"")</f>
        <v>81</v>
      </c>
      <c r="B121" s="31"/>
      <c r="C121" s="37" t="s">
        <v>179</v>
      </c>
      <c r="D121" s="41">
        <v>50</v>
      </c>
      <c r="E121" s="28">
        <v>0.1</v>
      </c>
      <c r="F121" s="32">
        <f t="shared" ref="F121:F125" si="40">D121*(1+E121)</f>
        <v>55.000000000000007</v>
      </c>
      <c r="G121" s="29" t="s">
        <v>64</v>
      </c>
      <c r="H121" s="29"/>
      <c r="I121" s="29"/>
      <c r="J121" s="33"/>
      <c r="K121" s="34">
        <f t="shared" ref="K121:K125" si="41">J121*F121</f>
        <v>0</v>
      </c>
      <c r="L121" s="35"/>
    </row>
    <row r="122" spans="1:12" s="37" customFormat="1" x14ac:dyDescent="0.25">
      <c r="A122" s="30">
        <f>IF(F122&lt;&gt;"",1+MAX($A$6:A121),"")</f>
        <v>82</v>
      </c>
      <c r="B122" s="31"/>
      <c r="C122" s="37" t="s">
        <v>180</v>
      </c>
      <c r="D122" s="41">
        <f>D120*0.67/27</f>
        <v>1.2407407407407407</v>
      </c>
      <c r="E122" s="28">
        <v>0.1</v>
      </c>
      <c r="F122" s="32">
        <f t="shared" si="40"/>
        <v>1.3648148148148149</v>
      </c>
      <c r="G122" s="29" t="s">
        <v>47</v>
      </c>
      <c r="H122" s="29"/>
      <c r="I122" s="29"/>
      <c r="J122" s="33"/>
      <c r="K122" s="34">
        <f t="shared" si="41"/>
        <v>0</v>
      </c>
      <c r="L122" s="35"/>
    </row>
    <row r="123" spans="1:12" s="37" customFormat="1" x14ac:dyDescent="0.25">
      <c r="A123" s="30">
        <f>IF(F123&lt;&gt;"",1+MAX($A$6:A122),"")</f>
        <v>83</v>
      </c>
      <c r="B123" s="31"/>
      <c r="C123" s="37" t="s">
        <v>66</v>
      </c>
      <c r="D123" s="41">
        <v>27</v>
      </c>
      <c r="E123" s="28">
        <v>0.1</v>
      </c>
      <c r="F123" s="32">
        <f t="shared" si="40"/>
        <v>29.700000000000003</v>
      </c>
      <c r="G123" s="29" t="s">
        <v>40</v>
      </c>
      <c r="H123" s="29"/>
      <c r="I123" s="29"/>
      <c r="J123" s="33"/>
      <c r="K123" s="34">
        <f t="shared" si="41"/>
        <v>0</v>
      </c>
      <c r="L123" s="35"/>
    </row>
    <row r="124" spans="1:12" s="37" customFormat="1" x14ac:dyDescent="0.25">
      <c r="A124" s="30">
        <f>IF(F124&lt;&gt;"",1+MAX($A$6:A123),"")</f>
        <v>84</v>
      </c>
      <c r="B124" s="31"/>
      <c r="C124" s="37" t="s">
        <v>62</v>
      </c>
      <c r="D124" s="41">
        <f>0.16*D120</f>
        <v>8</v>
      </c>
      <c r="E124" s="28">
        <v>0.1</v>
      </c>
      <c r="F124" s="32">
        <f t="shared" si="40"/>
        <v>8.8000000000000007</v>
      </c>
      <c r="G124" s="29" t="s">
        <v>40</v>
      </c>
      <c r="H124" s="29"/>
      <c r="I124" s="29"/>
      <c r="J124" s="33"/>
      <c r="K124" s="34">
        <f t="shared" si="41"/>
        <v>0</v>
      </c>
      <c r="L124" s="35"/>
    </row>
    <row r="125" spans="1:12" s="37" customFormat="1" x14ac:dyDescent="0.25">
      <c r="A125" s="30">
        <f>IF(F125&lt;&gt;"",1+MAX($A$6:A124),"")</f>
        <v>85</v>
      </c>
      <c r="B125" s="31"/>
      <c r="C125" s="37" t="s">
        <v>63</v>
      </c>
      <c r="D125" s="41">
        <f>D123</f>
        <v>27</v>
      </c>
      <c r="E125" s="28">
        <v>0.1</v>
      </c>
      <c r="F125" s="32">
        <f t="shared" si="40"/>
        <v>29.700000000000003</v>
      </c>
      <c r="G125" s="29" t="s">
        <v>40</v>
      </c>
      <c r="H125" s="29"/>
      <c r="I125" s="29"/>
      <c r="J125" s="33"/>
      <c r="K125" s="34">
        <f t="shared" si="41"/>
        <v>0</v>
      </c>
      <c r="L125" s="35"/>
    </row>
    <row r="126" spans="1:12" s="37" customFormat="1" x14ac:dyDescent="0.25">
      <c r="A126" s="30" t="str">
        <f>IF(F126&lt;&gt;"",1+MAX($A$6:A125),"")</f>
        <v/>
      </c>
      <c r="B126" s="31"/>
      <c r="D126" s="41"/>
      <c r="E126" s="28"/>
      <c r="F126" s="32"/>
      <c r="G126" s="29"/>
      <c r="H126" s="29"/>
      <c r="I126" s="29"/>
      <c r="J126" s="33"/>
      <c r="K126" s="34"/>
      <c r="L126" s="35"/>
    </row>
    <row r="127" spans="1:12" s="37" customFormat="1" x14ac:dyDescent="0.25">
      <c r="A127" s="30" t="str">
        <f>IF(F127&lt;&gt;"",1+MAX($A$6:A126),"")</f>
        <v/>
      </c>
      <c r="B127" s="31"/>
      <c r="C127" s="91" t="s">
        <v>81</v>
      </c>
      <c r="D127" s="41"/>
      <c r="E127" s="28"/>
      <c r="F127" s="32"/>
      <c r="G127" s="29"/>
      <c r="H127" s="29"/>
      <c r="I127" s="29"/>
      <c r="J127" s="33"/>
      <c r="K127" s="34"/>
      <c r="L127" s="35"/>
    </row>
    <row r="128" spans="1:12" s="37" customFormat="1" x14ac:dyDescent="0.25">
      <c r="A128" s="30">
        <f>IF(F128&lt;&gt;"",1+MAX($A$6:A127),"")</f>
        <v>86</v>
      </c>
      <c r="B128" s="31"/>
      <c r="C128" s="37" t="s">
        <v>205</v>
      </c>
      <c r="D128" s="41">
        <v>4</v>
      </c>
      <c r="E128" s="28">
        <v>0.1</v>
      </c>
      <c r="F128" s="32">
        <f t="shared" si="38"/>
        <v>4.4000000000000004</v>
      </c>
      <c r="G128" s="29" t="s">
        <v>41</v>
      </c>
      <c r="H128" s="29"/>
      <c r="I128" s="29"/>
      <c r="J128" s="33"/>
      <c r="K128" s="34">
        <f t="shared" si="39"/>
        <v>0</v>
      </c>
      <c r="L128" s="35"/>
    </row>
    <row r="129" spans="1:12" s="37" customFormat="1" x14ac:dyDescent="0.25">
      <c r="A129" s="30">
        <f>IF(F129&lt;&gt;"",1+MAX($A$6:A128),"")</f>
        <v>87</v>
      </c>
      <c r="B129" s="31"/>
      <c r="C129" s="37" t="s">
        <v>71</v>
      </c>
      <c r="D129" s="105">
        <f>4*3.14/4*4/27</f>
        <v>0.4651851851851852</v>
      </c>
      <c r="E129" s="28">
        <v>0.1</v>
      </c>
      <c r="F129" s="106">
        <f t="shared" si="38"/>
        <v>0.51170370370370377</v>
      </c>
      <c r="G129" s="29" t="s">
        <v>47</v>
      </c>
      <c r="H129" s="29"/>
      <c r="I129" s="29"/>
      <c r="J129" s="33"/>
      <c r="K129" s="34">
        <f t="shared" si="39"/>
        <v>0</v>
      </c>
      <c r="L129" s="35"/>
    </row>
    <row r="130" spans="1:12" s="37" customFormat="1" x14ac:dyDescent="0.25">
      <c r="A130" s="30">
        <f>IF(F130&lt;&gt;"",1+MAX($A$6:A129),"")</f>
        <v>88</v>
      </c>
      <c r="B130" s="31"/>
      <c r="C130" s="37" t="s">
        <v>72</v>
      </c>
      <c r="D130" s="105">
        <f>4*3.14/4*4</f>
        <v>12.56</v>
      </c>
      <c r="E130" s="28">
        <v>0.1</v>
      </c>
      <c r="F130" s="32">
        <f t="shared" si="38"/>
        <v>13.816000000000003</v>
      </c>
      <c r="G130" s="29" t="s">
        <v>75</v>
      </c>
      <c r="H130" s="29"/>
      <c r="I130" s="29"/>
      <c r="J130" s="33"/>
      <c r="K130" s="34">
        <f t="shared" si="39"/>
        <v>0</v>
      </c>
      <c r="L130" s="35"/>
    </row>
    <row r="131" spans="1:12" s="37" customFormat="1" x14ac:dyDescent="0.25">
      <c r="A131" s="30">
        <f>IF(F131&lt;&gt;"",1+MAX($A$6:A130),"")</f>
        <v>89</v>
      </c>
      <c r="B131" s="31"/>
      <c r="C131" s="37" t="s">
        <v>73</v>
      </c>
      <c r="D131" s="105">
        <f>9*3.14/4*4/27</f>
        <v>1.0466666666666666</v>
      </c>
      <c r="E131" s="28">
        <v>0.1</v>
      </c>
      <c r="F131" s="106">
        <f t="shared" si="38"/>
        <v>1.1513333333333333</v>
      </c>
      <c r="G131" s="29" t="s">
        <v>47</v>
      </c>
      <c r="H131" s="29"/>
      <c r="I131" s="29"/>
      <c r="J131" s="33"/>
      <c r="K131" s="34">
        <f t="shared" si="39"/>
        <v>0</v>
      </c>
      <c r="L131" s="35"/>
    </row>
    <row r="132" spans="1:12" s="37" customFormat="1" x14ac:dyDescent="0.25">
      <c r="A132" s="30">
        <f>IF(F132&lt;&gt;"",1+MAX($A$6:A131),"")</f>
        <v>90</v>
      </c>
      <c r="B132" s="31"/>
      <c r="C132" s="37" t="s">
        <v>74</v>
      </c>
      <c r="D132" s="105">
        <f>D131-D129</f>
        <v>0.58148148148148149</v>
      </c>
      <c r="E132" s="28">
        <v>0.1</v>
      </c>
      <c r="F132" s="106">
        <f t="shared" si="38"/>
        <v>0.63962962962962966</v>
      </c>
      <c r="G132" s="29" t="s">
        <v>47</v>
      </c>
      <c r="H132" s="29"/>
      <c r="I132" s="29"/>
      <c r="J132" s="33"/>
      <c r="K132" s="34">
        <f t="shared" si="39"/>
        <v>0</v>
      </c>
      <c r="L132" s="35"/>
    </row>
    <row r="133" spans="1:12" s="37" customFormat="1" x14ac:dyDescent="0.25">
      <c r="A133" s="30" t="str">
        <f>IF(F133&lt;&gt;"",1+MAX($A$6:A132),"")</f>
        <v/>
      </c>
      <c r="B133" s="31"/>
      <c r="C133" s="91"/>
      <c r="D133" s="105"/>
      <c r="E133" s="28"/>
      <c r="F133" s="106"/>
      <c r="G133" s="29"/>
      <c r="H133" s="29"/>
      <c r="I133" s="29"/>
      <c r="J133" s="33"/>
      <c r="K133" s="34"/>
      <c r="L133" s="35"/>
    </row>
    <row r="134" spans="1:12" s="37" customFormat="1" x14ac:dyDescent="0.25">
      <c r="A134" s="30" t="str">
        <f>IF(F134&lt;&gt;"",1+MAX($A$6:A133),"")</f>
        <v/>
      </c>
      <c r="B134" s="31"/>
      <c r="C134" s="91" t="s">
        <v>82</v>
      </c>
      <c r="D134" s="41"/>
      <c r="E134" s="28"/>
      <c r="F134" s="32"/>
      <c r="G134" s="29"/>
      <c r="H134" s="29"/>
      <c r="I134" s="29"/>
      <c r="J134" s="33"/>
      <c r="K134" s="34"/>
      <c r="L134" s="35"/>
    </row>
    <row r="135" spans="1:12" s="37" customFormat="1" x14ac:dyDescent="0.25">
      <c r="A135" s="30">
        <f>IF(F135&lt;&gt;"",1+MAX($A$6:A134),"")</f>
        <v>91</v>
      </c>
      <c r="B135" s="31"/>
      <c r="C135" s="37" t="s">
        <v>176</v>
      </c>
      <c r="D135" s="41">
        <f>815-440</f>
        <v>375</v>
      </c>
      <c r="E135" s="28">
        <v>0.1</v>
      </c>
      <c r="F135" s="32">
        <f t="shared" ref="F135:F140" si="42">D135*(1+E135)</f>
        <v>412.50000000000006</v>
      </c>
      <c r="G135" s="29" t="s">
        <v>42</v>
      </c>
      <c r="H135" s="29"/>
      <c r="I135" s="29"/>
      <c r="J135" s="33"/>
      <c r="K135" s="34">
        <f t="shared" ref="K135:K140" si="43">J135*F135</f>
        <v>0</v>
      </c>
      <c r="L135" s="35"/>
    </row>
    <row r="136" spans="1:12" s="37" customFormat="1" x14ac:dyDescent="0.25">
      <c r="A136" s="30">
        <f>IF(F136&lt;&gt;"",1+MAX($A$6:A135),"")</f>
        <v>92</v>
      </c>
      <c r="B136" s="31"/>
      <c r="C136" s="37" t="s">
        <v>177</v>
      </c>
      <c r="D136" s="41">
        <f>815-440</f>
        <v>375</v>
      </c>
      <c r="E136" s="28">
        <v>0.1</v>
      </c>
      <c r="F136" s="32">
        <f t="shared" si="42"/>
        <v>412.50000000000006</v>
      </c>
      <c r="G136" s="29" t="s">
        <v>42</v>
      </c>
      <c r="H136" s="29"/>
      <c r="I136" s="29"/>
      <c r="J136" s="33"/>
      <c r="K136" s="34">
        <f t="shared" si="43"/>
        <v>0</v>
      </c>
      <c r="L136" s="35"/>
    </row>
    <row r="137" spans="1:12" s="37" customFormat="1" x14ac:dyDescent="0.25">
      <c r="A137" s="30">
        <f>IF(F137&lt;&gt;"",1+MAX($A$6:A136),"")</f>
        <v>93</v>
      </c>
      <c r="B137" s="31"/>
      <c r="C137" s="37" t="s">
        <v>178</v>
      </c>
      <c r="D137" s="41">
        <f>D135*0.33/27</f>
        <v>4.583333333333333</v>
      </c>
      <c r="E137" s="28">
        <v>0.1</v>
      </c>
      <c r="F137" s="32">
        <f t="shared" si="42"/>
        <v>5.041666666666667</v>
      </c>
      <c r="G137" s="29" t="s">
        <v>47</v>
      </c>
      <c r="H137" s="29"/>
      <c r="I137" s="29"/>
      <c r="J137" s="33"/>
      <c r="K137" s="34">
        <f t="shared" si="43"/>
        <v>0</v>
      </c>
      <c r="L137" s="35"/>
    </row>
    <row r="138" spans="1:12" s="37" customFormat="1" x14ac:dyDescent="0.25">
      <c r="A138" s="30">
        <f>IF(F138&lt;&gt;"",1+MAX($A$6:A137),"")</f>
        <v>94</v>
      </c>
      <c r="B138" s="31"/>
      <c r="C138" s="37" t="s">
        <v>61</v>
      </c>
      <c r="D138" s="41">
        <v>54</v>
      </c>
      <c r="E138" s="28">
        <v>0.1</v>
      </c>
      <c r="F138" s="32">
        <f t="shared" si="42"/>
        <v>59.400000000000006</v>
      </c>
      <c r="G138" s="29" t="s">
        <v>40</v>
      </c>
      <c r="H138" s="29"/>
      <c r="I138" s="29"/>
      <c r="J138" s="33"/>
      <c r="K138" s="34">
        <f t="shared" si="43"/>
        <v>0</v>
      </c>
      <c r="L138" s="35"/>
    </row>
    <row r="139" spans="1:12" s="37" customFormat="1" x14ac:dyDescent="0.25">
      <c r="A139" s="30">
        <f>IF(F139&lt;&gt;"",1+MAX($A$6:A138),"")</f>
        <v>95</v>
      </c>
      <c r="B139" s="31"/>
      <c r="C139" s="37" t="s">
        <v>62</v>
      </c>
      <c r="D139" s="41">
        <f>0.16*D135</f>
        <v>60</v>
      </c>
      <c r="E139" s="28">
        <v>0.1</v>
      </c>
      <c r="F139" s="32">
        <f t="shared" si="42"/>
        <v>66</v>
      </c>
      <c r="G139" s="29" t="s">
        <v>40</v>
      </c>
      <c r="H139" s="29"/>
      <c r="I139" s="29"/>
      <c r="J139" s="33"/>
      <c r="K139" s="34">
        <f t="shared" si="43"/>
        <v>0</v>
      </c>
      <c r="L139" s="35"/>
    </row>
    <row r="140" spans="1:12" s="37" customFormat="1" x14ac:dyDescent="0.25">
      <c r="A140" s="30">
        <f>IF(F140&lt;&gt;"",1+MAX($A$6:A139),"")</f>
        <v>96</v>
      </c>
      <c r="B140" s="31"/>
      <c r="C140" s="37" t="s">
        <v>63</v>
      </c>
      <c r="D140" s="41">
        <v>54</v>
      </c>
      <c r="E140" s="28">
        <v>0.1</v>
      </c>
      <c r="F140" s="32">
        <f t="shared" si="42"/>
        <v>59.400000000000006</v>
      </c>
      <c r="G140" s="29" t="s">
        <v>40</v>
      </c>
      <c r="H140" s="29"/>
      <c r="I140" s="29"/>
      <c r="J140" s="33"/>
      <c r="K140" s="34">
        <f t="shared" si="43"/>
        <v>0</v>
      </c>
      <c r="L140" s="35"/>
    </row>
    <row r="141" spans="1:12" s="37" customFormat="1" x14ac:dyDescent="0.25">
      <c r="A141" s="30" t="str">
        <f>IF(F141&lt;&gt;"",1+MAX($A$6:A140),"")</f>
        <v/>
      </c>
      <c r="B141" s="31"/>
      <c r="D141" s="41"/>
      <c r="E141" s="28"/>
      <c r="F141" s="32"/>
      <c r="G141" s="29"/>
      <c r="H141" s="29"/>
      <c r="I141" s="29"/>
      <c r="J141" s="33"/>
      <c r="K141" s="34"/>
      <c r="L141" s="35"/>
    </row>
    <row r="142" spans="1:12" s="37" customFormat="1" x14ac:dyDescent="0.25">
      <c r="A142" s="30" t="str">
        <f>IF(F142&lt;&gt;"",1+MAX($A$6:A141),"")</f>
        <v/>
      </c>
      <c r="B142" s="31"/>
      <c r="C142" s="91" t="s">
        <v>197</v>
      </c>
      <c r="D142" s="41"/>
      <c r="E142" s="28"/>
      <c r="F142" s="32"/>
      <c r="G142" s="29"/>
      <c r="H142" s="29"/>
      <c r="I142" s="29"/>
      <c r="J142" s="33"/>
      <c r="K142" s="34"/>
      <c r="L142" s="35"/>
    </row>
    <row r="143" spans="1:12" s="37" customFormat="1" x14ac:dyDescent="0.25">
      <c r="A143" s="30">
        <f>IF(F143&lt;&gt;"",1+MAX($A$6:A142),"")</f>
        <v>97</v>
      </c>
      <c r="B143" s="31"/>
      <c r="C143" s="37" t="s">
        <v>198</v>
      </c>
      <c r="D143" s="41">
        <v>440</v>
      </c>
      <c r="E143" s="28">
        <v>0.1</v>
      </c>
      <c r="F143" s="32">
        <f t="shared" ref="F143:F148" si="44">D143*(1+E143)</f>
        <v>484.00000000000006</v>
      </c>
      <c r="G143" s="29" t="s">
        <v>42</v>
      </c>
      <c r="H143" s="29"/>
      <c r="I143" s="29"/>
      <c r="J143" s="33"/>
      <c r="K143" s="34">
        <f t="shared" ref="K143:K148" si="45">J143*F143</f>
        <v>0</v>
      </c>
      <c r="L143" s="35"/>
    </row>
    <row r="144" spans="1:12" s="37" customFormat="1" x14ac:dyDescent="0.25">
      <c r="A144" s="30">
        <f>IF(F144&lt;&gt;"",1+MAX($A$6:A143),"")</f>
        <v>98</v>
      </c>
      <c r="B144" s="31"/>
      <c r="C144" s="37" t="s">
        <v>199</v>
      </c>
      <c r="D144" s="41">
        <v>440</v>
      </c>
      <c r="E144" s="28">
        <v>0.1</v>
      </c>
      <c r="F144" s="32">
        <f t="shared" si="44"/>
        <v>484.00000000000006</v>
      </c>
      <c r="G144" s="29" t="s">
        <v>42</v>
      </c>
      <c r="H144" s="29"/>
      <c r="I144" s="29"/>
      <c r="J144" s="33"/>
      <c r="K144" s="34">
        <f t="shared" si="45"/>
        <v>0</v>
      </c>
      <c r="L144" s="35"/>
    </row>
    <row r="145" spans="1:12" s="37" customFormat="1" x14ac:dyDescent="0.25">
      <c r="A145" s="30">
        <f>IF(F145&lt;&gt;"",1+MAX($A$6:A144),"")</f>
        <v>99</v>
      </c>
      <c r="B145" s="31"/>
      <c r="C145" s="37" t="s">
        <v>200</v>
      </c>
      <c r="D145" s="41">
        <f>D143*0.5/27</f>
        <v>8.1481481481481488</v>
      </c>
      <c r="E145" s="28">
        <v>0.1</v>
      </c>
      <c r="F145" s="32">
        <f t="shared" si="44"/>
        <v>8.9629629629629637</v>
      </c>
      <c r="G145" s="29" t="s">
        <v>47</v>
      </c>
      <c r="H145" s="29"/>
      <c r="I145" s="29"/>
      <c r="J145" s="33"/>
      <c r="K145" s="34">
        <f t="shared" si="45"/>
        <v>0</v>
      </c>
      <c r="L145" s="35"/>
    </row>
    <row r="146" spans="1:12" s="37" customFormat="1" x14ac:dyDescent="0.25">
      <c r="A146" s="30">
        <f>IF(F146&lt;&gt;"",1+MAX($A$6:A145),"")</f>
        <v>100</v>
      </c>
      <c r="B146" s="31"/>
      <c r="C146" s="37" t="s">
        <v>201</v>
      </c>
      <c r="D146" s="41">
        <v>85</v>
      </c>
      <c r="E146" s="28">
        <v>0.1</v>
      </c>
      <c r="F146" s="32">
        <f t="shared" si="44"/>
        <v>93.500000000000014</v>
      </c>
      <c r="G146" s="29" t="s">
        <v>40</v>
      </c>
      <c r="H146" s="29"/>
      <c r="I146" s="29"/>
      <c r="J146" s="33"/>
      <c r="K146" s="34">
        <f t="shared" si="45"/>
        <v>0</v>
      </c>
      <c r="L146" s="35"/>
    </row>
    <row r="147" spans="1:12" s="37" customFormat="1" x14ac:dyDescent="0.25">
      <c r="A147" s="30">
        <f>IF(F147&lt;&gt;"",1+MAX($A$6:A146),"")</f>
        <v>101</v>
      </c>
      <c r="B147" s="31"/>
      <c r="C147" s="37" t="s">
        <v>62</v>
      </c>
      <c r="D147" s="41">
        <f>0.16*D143</f>
        <v>70.400000000000006</v>
      </c>
      <c r="E147" s="28">
        <v>0.1</v>
      </c>
      <c r="F147" s="32">
        <f t="shared" si="44"/>
        <v>77.440000000000012</v>
      </c>
      <c r="G147" s="29" t="s">
        <v>40</v>
      </c>
      <c r="H147" s="29"/>
      <c r="I147" s="29"/>
      <c r="J147" s="33"/>
      <c r="K147" s="34">
        <f t="shared" si="45"/>
        <v>0</v>
      </c>
      <c r="L147" s="35"/>
    </row>
    <row r="148" spans="1:12" s="37" customFormat="1" x14ac:dyDescent="0.25">
      <c r="A148" s="30">
        <f>IF(F148&lt;&gt;"",1+MAX($A$6:A147),"")</f>
        <v>102</v>
      </c>
      <c r="B148" s="31"/>
      <c r="C148" s="37" t="s">
        <v>63</v>
      </c>
      <c r="D148" s="41">
        <f>D146</f>
        <v>85</v>
      </c>
      <c r="E148" s="28">
        <v>0.1</v>
      </c>
      <c r="F148" s="32">
        <f t="shared" si="44"/>
        <v>93.500000000000014</v>
      </c>
      <c r="G148" s="29" t="s">
        <v>40</v>
      </c>
      <c r="H148" s="29"/>
      <c r="I148" s="29"/>
      <c r="J148" s="33"/>
      <c r="K148" s="34">
        <f t="shared" si="45"/>
        <v>0</v>
      </c>
      <c r="L148" s="35"/>
    </row>
    <row r="149" spans="1:12" s="37" customFormat="1" x14ac:dyDescent="0.25">
      <c r="A149" s="30" t="str">
        <f>IF(F149&lt;&gt;"",1+MAX($A$6:A148),"")</f>
        <v/>
      </c>
      <c r="B149" s="31"/>
      <c r="D149" s="41"/>
      <c r="E149" s="28"/>
      <c r="F149" s="32"/>
      <c r="G149" s="29"/>
      <c r="H149" s="29"/>
      <c r="I149" s="29"/>
      <c r="J149" s="33"/>
      <c r="K149" s="34"/>
      <c r="L149" s="35"/>
    </row>
    <row r="150" spans="1:12" s="37" customFormat="1" x14ac:dyDescent="0.25">
      <c r="A150" s="30" t="str">
        <f>IF(F150&lt;&gt;"",1+MAX($A$6:A149),"")</f>
        <v/>
      </c>
      <c r="B150" s="31"/>
      <c r="C150" s="91" t="s">
        <v>84</v>
      </c>
      <c r="D150" s="41"/>
      <c r="E150" s="28"/>
      <c r="F150" s="32"/>
      <c r="G150" s="29"/>
      <c r="H150" s="29"/>
      <c r="I150" s="29"/>
      <c r="J150" s="33"/>
      <c r="K150" s="34"/>
      <c r="L150" s="35"/>
    </row>
    <row r="151" spans="1:12" s="37" customFormat="1" ht="45" x14ac:dyDescent="0.25">
      <c r="A151" s="30">
        <f>IF(F151&lt;&gt;"",1+MAX($A$6:A150),"")</f>
        <v>103</v>
      </c>
      <c r="B151" s="31"/>
      <c r="C151" s="45" t="s">
        <v>203</v>
      </c>
      <c r="D151" s="116">
        <f>65*8</f>
        <v>520</v>
      </c>
      <c r="E151" s="28">
        <v>0.1</v>
      </c>
      <c r="F151" s="32">
        <f t="shared" ref="F151" si="46">D151*(1+E151)</f>
        <v>572</v>
      </c>
      <c r="G151" s="29" t="s">
        <v>42</v>
      </c>
      <c r="H151" s="29"/>
      <c r="I151" s="29"/>
      <c r="J151" s="33"/>
      <c r="K151" s="34">
        <f t="shared" ref="K151" si="47">J151*F151</f>
        <v>0</v>
      </c>
      <c r="L151" s="35"/>
    </row>
    <row r="152" spans="1:12" s="37" customFormat="1" x14ac:dyDescent="0.25">
      <c r="A152" s="30" t="str">
        <f>IF(F152&lt;&gt;"",1+MAX($A$6:A151),"")</f>
        <v/>
      </c>
      <c r="B152" s="31"/>
      <c r="D152" s="41"/>
      <c r="E152" s="28"/>
      <c r="F152" s="32"/>
      <c r="G152" s="29"/>
      <c r="H152" s="29"/>
      <c r="I152" s="29"/>
      <c r="J152" s="33"/>
      <c r="K152" s="34"/>
      <c r="L152" s="35"/>
    </row>
    <row r="153" spans="1:12" s="37" customFormat="1" x14ac:dyDescent="0.25">
      <c r="A153" s="30" t="str">
        <f>IF(F153&lt;&gt;"",1+MAX($A$6:A152),"")</f>
        <v/>
      </c>
      <c r="B153" s="31"/>
      <c r="C153" s="91" t="s">
        <v>83</v>
      </c>
      <c r="D153" s="41"/>
      <c r="E153" s="28"/>
      <c r="F153" s="32"/>
      <c r="G153" s="29"/>
      <c r="H153" s="29"/>
      <c r="I153" s="29"/>
      <c r="J153" s="33"/>
      <c r="K153" s="34"/>
      <c r="L153" s="35"/>
    </row>
    <row r="154" spans="1:12" s="37" customFormat="1" x14ac:dyDescent="0.25">
      <c r="A154" s="30">
        <f>IF(F154&lt;&gt;"",1+MAX($A$6:A153),"")</f>
        <v>104</v>
      </c>
      <c r="B154" s="31"/>
      <c r="C154" s="37" t="s">
        <v>52</v>
      </c>
      <c r="D154" s="41">
        <v>65</v>
      </c>
      <c r="E154" s="28">
        <v>0.1</v>
      </c>
      <c r="F154" s="32">
        <f t="shared" si="38"/>
        <v>71.5</v>
      </c>
      <c r="G154" s="29" t="s">
        <v>40</v>
      </c>
      <c r="H154" s="29"/>
      <c r="I154" s="29"/>
      <c r="J154" s="33"/>
      <c r="K154" s="34">
        <f t="shared" si="39"/>
        <v>0</v>
      </c>
      <c r="L154" s="35"/>
    </row>
    <row r="155" spans="1:12" s="37" customFormat="1" x14ac:dyDescent="0.25">
      <c r="A155" s="30">
        <f>IF(F155&lt;&gt;"",1+MAX($A$6:A154),"")</f>
        <v>105</v>
      </c>
      <c r="B155" s="31"/>
      <c r="C155" s="37" t="s">
        <v>71</v>
      </c>
      <c r="D155" s="41">
        <f>65*1.33*1.5/27</f>
        <v>4.802777777777778</v>
      </c>
      <c r="E155" s="28">
        <v>0.1</v>
      </c>
      <c r="F155" s="32">
        <f t="shared" si="38"/>
        <v>5.2830555555555563</v>
      </c>
      <c r="G155" s="29" t="s">
        <v>47</v>
      </c>
      <c r="H155" s="29"/>
      <c r="I155" s="29"/>
      <c r="J155" s="33"/>
      <c r="K155" s="34">
        <f t="shared" si="39"/>
        <v>0</v>
      </c>
      <c r="L155" s="35"/>
    </row>
    <row r="156" spans="1:12" s="37" customFormat="1" x14ac:dyDescent="0.25">
      <c r="A156" s="30">
        <f>IF(F156&lt;&gt;"",1+MAX($A$6:A155),"")</f>
        <v>106</v>
      </c>
      <c r="B156" s="31"/>
      <c r="C156" s="37" t="s">
        <v>72</v>
      </c>
      <c r="D156" s="41">
        <f>65*1.33*1.6</f>
        <v>138.32000000000002</v>
      </c>
      <c r="E156" s="28">
        <v>0.1</v>
      </c>
      <c r="F156" s="32">
        <f t="shared" si="38"/>
        <v>152.15200000000004</v>
      </c>
      <c r="G156" s="29" t="s">
        <v>75</v>
      </c>
      <c r="H156" s="29"/>
      <c r="I156" s="29"/>
      <c r="J156" s="33"/>
      <c r="K156" s="34">
        <f t="shared" si="39"/>
        <v>0</v>
      </c>
      <c r="L156" s="35"/>
    </row>
    <row r="157" spans="1:12" s="37" customFormat="1" x14ac:dyDescent="0.25">
      <c r="A157" s="30">
        <f>IF(F157&lt;&gt;"",1+MAX($A$6:A156),"")</f>
        <v>107</v>
      </c>
      <c r="B157" s="31"/>
      <c r="C157" s="37" t="s">
        <v>73</v>
      </c>
      <c r="D157" s="41">
        <f>65*2.5*1.5/27</f>
        <v>9.0277777777777786</v>
      </c>
      <c r="E157" s="28">
        <v>0.1</v>
      </c>
      <c r="F157" s="32">
        <f t="shared" si="38"/>
        <v>9.9305555555555571</v>
      </c>
      <c r="G157" s="29" t="s">
        <v>47</v>
      </c>
      <c r="H157" s="29"/>
      <c r="I157" s="29"/>
      <c r="J157" s="33"/>
      <c r="K157" s="34">
        <f t="shared" si="39"/>
        <v>0</v>
      </c>
      <c r="L157" s="35"/>
    </row>
    <row r="158" spans="1:12" s="37" customFormat="1" x14ac:dyDescent="0.25">
      <c r="A158" s="30">
        <f>IF(F158&lt;&gt;"",1+MAX($A$6:A157),"")</f>
        <v>108</v>
      </c>
      <c r="B158" s="31"/>
      <c r="C158" s="37" t="s">
        <v>74</v>
      </c>
      <c r="D158" s="41">
        <f>D157-D155</f>
        <v>4.2250000000000005</v>
      </c>
      <c r="E158" s="28">
        <v>0.1</v>
      </c>
      <c r="F158" s="32">
        <f t="shared" si="38"/>
        <v>4.6475000000000009</v>
      </c>
      <c r="G158" s="29" t="s">
        <v>47</v>
      </c>
      <c r="H158" s="29"/>
      <c r="I158" s="29"/>
      <c r="J158" s="33"/>
      <c r="K158" s="34">
        <f t="shared" si="39"/>
        <v>0</v>
      </c>
      <c r="L158" s="35"/>
    </row>
    <row r="159" spans="1:12" s="37" customFormat="1" x14ac:dyDescent="0.25">
      <c r="A159" s="30">
        <f>IF(F159&lt;&gt;"",1+MAX($A$6:A158),"")</f>
        <v>109</v>
      </c>
      <c r="B159" s="31"/>
      <c r="C159" s="37" t="s">
        <v>202</v>
      </c>
      <c r="D159" s="41">
        <f>65+65</f>
        <v>130</v>
      </c>
      <c r="E159" s="28">
        <v>0.1</v>
      </c>
      <c r="F159" s="32">
        <f t="shared" si="38"/>
        <v>143</v>
      </c>
      <c r="G159" s="29" t="s">
        <v>64</v>
      </c>
      <c r="H159" s="29"/>
      <c r="I159" s="29"/>
      <c r="J159" s="33"/>
      <c r="K159" s="34">
        <f t="shared" si="39"/>
        <v>0</v>
      </c>
      <c r="L159" s="35"/>
    </row>
    <row r="160" spans="1:12" s="37" customFormat="1" x14ac:dyDescent="0.25">
      <c r="A160" s="30" t="str">
        <f>IF(F160&lt;&gt;"",1+MAX($A$6:A159),"")</f>
        <v/>
      </c>
      <c r="B160" s="31"/>
      <c r="D160" s="41"/>
      <c r="E160" s="28"/>
      <c r="F160" s="32"/>
      <c r="G160" s="29"/>
      <c r="H160" s="29"/>
      <c r="I160" s="29"/>
      <c r="J160" s="33"/>
      <c r="K160" s="34"/>
      <c r="L160" s="35"/>
    </row>
    <row r="161" spans="1:12" s="37" customFormat="1" x14ac:dyDescent="0.25">
      <c r="A161" s="30" t="str">
        <f>IF(F161&lt;&gt;"",1+MAX($A$6:A160),"")</f>
        <v/>
      </c>
      <c r="B161" s="31"/>
      <c r="C161" s="91" t="s">
        <v>70</v>
      </c>
      <c r="D161" s="41"/>
      <c r="E161" s="28"/>
      <c r="F161" s="32"/>
      <c r="G161" s="29"/>
      <c r="H161" s="29"/>
      <c r="I161" s="29"/>
      <c r="J161" s="33"/>
      <c r="K161" s="34"/>
      <c r="L161" s="35"/>
    </row>
    <row r="162" spans="1:12" s="37" customFormat="1" x14ac:dyDescent="0.25">
      <c r="A162" s="30">
        <f>IF(F162&lt;&gt;"",1+MAX($A$6:A161),"")</f>
        <v>110</v>
      </c>
      <c r="B162" s="31"/>
      <c r="C162" s="37" t="s">
        <v>170</v>
      </c>
      <c r="D162" s="41">
        <v>5365</v>
      </c>
      <c r="E162" s="28">
        <v>0.1</v>
      </c>
      <c r="F162" s="32">
        <f t="shared" si="38"/>
        <v>5901.5000000000009</v>
      </c>
      <c r="G162" s="29" t="s">
        <v>42</v>
      </c>
      <c r="H162" s="29"/>
      <c r="I162" s="29"/>
      <c r="J162" s="33"/>
      <c r="K162" s="34">
        <f t="shared" si="39"/>
        <v>0</v>
      </c>
      <c r="L162" s="35"/>
    </row>
    <row r="163" spans="1:12" s="37" customFormat="1" x14ac:dyDescent="0.25">
      <c r="A163" s="30">
        <f>IF(F163&lt;&gt;"",1+MAX($A$6:A162),"")</f>
        <v>111</v>
      </c>
      <c r="B163" s="31"/>
      <c r="C163" s="37" t="s">
        <v>171</v>
      </c>
      <c r="D163" s="41">
        <v>5365</v>
      </c>
      <c r="E163" s="28">
        <v>0.1</v>
      </c>
      <c r="F163" s="32">
        <f t="shared" ref="F163" si="48">D163*(1+E163)</f>
        <v>5901.5000000000009</v>
      </c>
      <c r="G163" s="29" t="s">
        <v>42</v>
      </c>
      <c r="H163" s="29"/>
      <c r="I163" s="29"/>
      <c r="J163" s="33"/>
      <c r="K163" s="34">
        <f t="shared" ref="K163" si="49">J163*F163</f>
        <v>0</v>
      </c>
      <c r="L163" s="35"/>
    </row>
    <row r="164" spans="1:12" s="37" customFormat="1" x14ac:dyDescent="0.25">
      <c r="A164" s="30">
        <f>IF(F164&lt;&gt;"",1+MAX($A$6:A163),"")</f>
        <v>112</v>
      </c>
      <c r="B164" s="31"/>
      <c r="C164" s="37" t="s">
        <v>172</v>
      </c>
      <c r="D164" s="41">
        <f>5365*0.67/27</f>
        <v>133.1314814814815</v>
      </c>
      <c r="E164" s="28">
        <v>0.1</v>
      </c>
      <c r="F164" s="32">
        <f t="shared" ref="F164" si="50">D164*(1+E164)</f>
        <v>146.44462962962967</v>
      </c>
      <c r="G164" s="29" t="s">
        <v>47</v>
      </c>
      <c r="H164" s="29"/>
      <c r="I164" s="29"/>
      <c r="J164" s="33"/>
      <c r="K164" s="34">
        <f t="shared" ref="K164" si="51">J164*F164</f>
        <v>0</v>
      </c>
      <c r="L164" s="35"/>
    </row>
    <row r="165" spans="1:12" s="37" customFormat="1" x14ac:dyDescent="0.25">
      <c r="A165" s="30">
        <f>IF(F165&lt;&gt;"",1+MAX($A$6:A164),"")</f>
        <v>113</v>
      </c>
      <c r="B165" s="31"/>
      <c r="C165" s="37" t="s">
        <v>173</v>
      </c>
      <c r="D165" s="41">
        <f>D162</f>
        <v>5365</v>
      </c>
      <c r="E165" s="28">
        <v>0.1</v>
      </c>
      <c r="F165" s="32">
        <f t="shared" ref="F165" si="52">D165*(1+E165)</f>
        <v>5901.5000000000009</v>
      </c>
      <c r="G165" s="29" t="s">
        <v>47</v>
      </c>
      <c r="H165" s="29"/>
      <c r="I165" s="29"/>
      <c r="J165" s="33"/>
      <c r="K165" s="34">
        <f t="shared" ref="K165" si="53">J165*F165</f>
        <v>0</v>
      </c>
      <c r="L165" s="35"/>
    </row>
    <row r="166" spans="1:12" s="37" customFormat="1" x14ac:dyDescent="0.25">
      <c r="A166" s="30" t="str">
        <f>IF(F166&lt;&gt;"",1+MAX($A$6:A165),"")</f>
        <v/>
      </c>
      <c r="B166" s="31"/>
      <c r="D166" s="41"/>
      <c r="E166" s="28"/>
      <c r="F166" s="32"/>
      <c r="G166" s="29"/>
      <c r="H166" s="29"/>
      <c r="I166" s="29"/>
      <c r="J166" s="33"/>
      <c r="K166" s="34"/>
      <c r="L166" s="35"/>
    </row>
    <row r="167" spans="1:12" s="37" customFormat="1" x14ac:dyDescent="0.25">
      <c r="A167" s="30" t="str">
        <f>IF(F167&lt;&gt;"",1+MAX($A$6:A166),"")</f>
        <v/>
      </c>
      <c r="B167" s="31"/>
      <c r="C167" s="91" t="s">
        <v>129</v>
      </c>
      <c r="D167" s="41"/>
      <c r="E167" s="28"/>
      <c r="F167" s="32"/>
      <c r="G167" s="29"/>
      <c r="H167" s="29"/>
      <c r="I167" s="29"/>
      <c r="J167" s="33"/>
      <c r="K167" s="34"/>
      <c r="L167" s="35"/>
    </row>
    <row r="168" spans="1:12" s="37" customFormat="1" x14ac:dyDescent="0.25">
      <c r="A168" s="30">
        <f>IF(F168&lt;&gt;"",1+MAX($A$6:A167),"")</f>
        <v>114</v>
      </c>
      <c r="B168" s="31"/>
      <c r="C168" s="37" t="s">
        <v>174</v>
      </c>
      <c r="D168" s="41">
        <f>19170</f>
        <v>19170</v>
      </c>
      <c r="E168" s="28">
        <v>0.1</v>
      </c>
      <c r="F168" s="32">
        <f t="shared" ref="F168:F171" si="54">D168*(1+E168)</f>
        <v>21087</v>
      </c>
      <c r="G168" s="29" t="s">
        <v>42</v>
      </c>
      <c r="H168" s="29"/>
      <c r="I168" s="29"/>
      <c r="J168" s="33"/>
      <c r="K168" s="34">
        <f t="shared" ref="K168:K171" si="55">J168*F168</f>
        <v>0</v>
      </c>
      <c r="L168" s="35"/>
    </row>
    <row r="169" spans="1:12" s="37" customFormat="1" x14ac:dyDescent="0.25">
      <c r="A169" s="30">
        <f>IF(F169&lt;&gt;"",1+MAX($A$6:A168),"")</f>
        <v>115</v>
      </c>
      <c r="B169" s="31"/>
      <c r="C169" s="37" t="s">
        <v>175</v>
      </c>
      <c r="D169" s="41">
        <f>19170</f>
        <v>19170</v>
      </c>
      <c r="E169" s="28">
        <v>0.1</v>
      </c>
      <c r="F169" s="32">
        <f t="shared" si="54"/>
        <v>21087</v>
      </c>
      <c r="G169" s="29" t="s">
        <v>42</v>
      </c>
      <c r="H169" s="29"/>
      <c r="I169" s="29"/>
      <c r="J169" s="33"/>
      <c r="K169" s="34">
        <f t="shared" si="55"/>
        <v>0</v>
      </c>
      <c r="L169" s="35"/>
    </row>
    <row r="170" spans="1:12" s="37" customFormat="1" x14ac:dyDescent="0.25">
      <c r="A170" s="30">
        <f>IF(F170&lt;&gt;"",1+MAX($A$6:A169),"")</f>
        <v>116</v>
      </c>
      <c r="B170" s="31"/>
      <c r="C170" s="37" t="s">
        <v>110</v>
      </c>
      <c r="D170" s="41">
        <f>19170*0.67/27</f>
        <v>475.70000000000005</v>
      </c>
      <c r="E170" s="28">
        <v>0.1</v>
      </c>
      <c r="F170" s="32">
        <f t="shared" si="54"/>
        <v>523.2700000000001</v>
      </c>
      <c r="G170" s="29" t="s">
        <v>47</v>
      </c>
      <c r="H170" s="29"/>
      <c r="I170" s="29"/>
      <c r="J170" s="33"/>
      <c r="K170" s="34">
        <f t="shared" si="55"/>
        <v>0</v>
      </c>
      <c r="L170" s="35"/>
    </row>
    <row r="171" spans="1:12" s="37" customFormat="1" x14ac:dyDescent="0.25">
      <c r="A171" s="30">
        <f>IF(F171&lt;&gt;"",1+MAX($A$6:A170),"")</f>
        <v>117</v>
      </c>
      <c r="B171" s="31"/>
      <c r="C171" s="37" t="s">
        <v>173</v>
      </c>
      <c r="D171" s="41">
        <f>D168</f>
        <v>19170</v>
      </c>
      <c r="E171" s="28">
        <v>0.1</v>
      </c>
      <c r="F171" s="32">
        <f t="shared" si="54"/>
        <v>21087</v>
      </c>
      <c r="G171" s="29" t="s">
        <v>47</v>
      </c>
      <c r="H171" s="29"/>
      <c r="I171" s="29"/>
      <c r="J171" s="33"/>
      <c r="K171" s="34">
        <f t="shared" si="55"/>
        <v>0</v>
      </c>
      <c r="L171" s="35"/>
    </row>
    <row r="172" spans="1:12" s="6" customFormat="1" x14ac:dyDescent="0.25">
      <c r="A172" s="30" t="str">
        <f>IF(F172&lt;&gt;"",1+MAX($A$6:A171),"")</f>
        <v/>
      </c>
      <c r="B172" s="11"/>
      <c r="C172" s="37"/>
      <c r="D172" s="41"/>
      <c r="E172" s="28"/>
      <c r="F172" s="32"/>
      <c r="G172" s="29"/>
      <c r="H172" s="29"/>
      <c r="I172" s="29"/>
      <c r="J172" s="33"/>
      <c r="K172" s="34"/>
      <c r="L172" s="5"/>
    </row>
    <row r="173" spans="1:12" s="6" customFormat="1" x14ac:dyDescent="0.25">
      <c r="A173" s="30" t="str">
        <f>IF(F173&lt;&gt;"",1+MAX($A$6:A172),"")</f>
        <v/>
      </c>
      <c r="B173" s="11"/>
      <c r="C173" s="91" t="s">
        <v>124</v>
      </c>
      <c r="D173" s="41"/>
      <c r="E173" s="28"/>
      <c r="F173" s="32"/>
      <c r="G173" s="29"/>
      <c r="H173" s="29"/>
      <c r="I173" s="29"/>
      <c r="J173" s="33"/>
      <c r="K173" s="34"/>
      <c r="L173" s="5"/>
    </row>
    <row r="174" spans="1:12" s="37" customFormat="1" x14ac:dyDescent="0.25">
      <c r="A174" s="30">
        <f>IF(F174&lt;&gt;"",1+MAX($A$6:A173),"")</f>
        <v>118</v>
      </c>
      <c r="B174" s="31"/>
      <c r="C174" s="37" t="s">
        <v>125</v>
      </c>
      <c r="D174" s="41">
        <v>10</v>
      </c>
      <c r="E174" s="28">
        <v>0</v>
      </c>
      <c r="F174" s="32">
        <f t="shared" ref="F174" si="56">D174*(1+E174)</f>
        <v>10</v>
      </c>
      <c r="G174" s="29" t="s">
        <v>41</v>
      </c>
      <c r="H174" s="29"/>
      <c r="I174" s="29"/>
      <c r="J174" s="33"/>
      <c r="K174" s="34">
        <f t="shared" ref="K174" si="57">J174*F174</f>
        <v>0</v>
      </c>
      <c r="L174" s="35"/>
    </row>
    <row r="175" spans="1:12" s="37" customFormat="1" x14ac:dyDescent="0.25">
      <c r="A175" s="30" t="str">
        <f>IF(F175&lt;&gt;"",1+MAX($A$6:A174),"")</f>
        <v/>
      </c>
      <c r="B175" s="31"/>
      <c r="D175" s="41"/>
      <c r="E175" s="28"/>
      <c r="F175" s="32"/>
      <c r="G175" s="29"/>
      <c r="H175" s="29"/>
      <c r="I175" s="29"/>
      <c r="J175" s="33"/>
      <c r="K175" s="34"/>
      <c r="L175" s="35"/>
    </row>
    <row r="176" spans="1:12" s="37" customFormat="1" x14ac:dyDescent="0.25">
      <c r="A176" s="30" t="str">
        <f>IF(F176&lt;&gt;"",1+MAX($A$6:A175),"")</f>
        <v/>
      </c>
      <c r="B176" s="31"/>
      <c r="C176" s="91" t="s">
        <v>185</v>
      </c>
      <c r="D176" s="41"/>
      <c r="E176" s="28"/>
      <c r="F176" s="32"/>
      <c r="G176" s="29"/>
      <c r="H176" s="29"/>
      <c r="I176" s="29"/>
      <c r="J176" s="33"/>
      <c r="K176" s="34"/>
      <c r="L176" s="35"/>
    </row>
    <row r="177" spans="1:12" x14ac:dyDescent="0.25">
      <c r="A177" s="30">
        <f>IF(F177&lt;&gt;"",1+MAX($A$6:A176),"")</f>
        <v>119</v>
      </c>
      <c r="B177" s="107"/>
      <c r="C177" s="45" t="s">
        <v>194</v>
      </c>
      <c r="D177" s="41">
        <v>1</v>
      </c>
      <c r="E177" s="111">
        <v>0</v>
      </c>
      <c r="F177" s="112">
        <f>D177*(1+E177)</f>
        <v>1</v>
      </c>
      <c r="G177" s="113" t="s">
        <v>41</v>
      </c>
      <c r="H177" s="113"/>
      <c r="I177" s="113"/>
      <c r="J177" s="114"/>
      <c r="K177" s="115">
        <f t="shared" ref="K177" si="58">J177*F177</f>
        <v>0</v>
      </c>
      <c r="L177" s="110"/>
    </row>
    <row r="178" spans="1:12" x14ac:dyDescent="0.25">
      <c r="A178" s="30" t="str">
        <f>IF(F178&lt;&gt;"",1+MAX($A$6:A177),"")</f>
        <v/>
      </c>
      <c r="B178" s="107"/>
      <c r="C178" s="91" t="s">
        <v>99</v>
      </c>
      <c r="D178" s="41"/>
      <c r="E178" s="111"/>
      <c r="F178" s="112"/>
      <c r="G178" s="113"/>
      <c r="H178" s="113"/>
      <c r="I178" s="113"/>
      <c r="J178" s="114"/>
      <c r="K178" s="115"/>
      <c r="L178" s="110"/>
    </row>
    <row r="179" spans="1:12" x14ac:dyDescent="0.25">
      <c r="A179" s="30">
        <f>IF(F179&lt;&gt;"",1+MAX($A$6:A178),"")</f>
        <v>120</v>
      </c>
      <c r="B179" s="107"/>
      <c r="C179" s="37" t="s">
        <v>71</v>
      </c>
      <c r="D179" s="41">
        <f>(3.14*2*2*0.25*9*6)/27</f>
        <v>6.28</v>
      </c>
      <c r="E179" s="111">
        <v>0.1</v>
      </c>
      <c r="F179" s="112">
        <f t="shared" ref="F179:F184" si="59">D179*(1+E179)</f>
        <v>6.9080000000000013</v>
      </c>
      <c r="G179" s="113" t="s">
        <v>47</v>
      </c>
      <c r="H179" s="113"/>
      <c r="I179" s="113"/>
      <c r="J179" s="114"/>
      <c r="K179" s="115">
        <f t="shared" ref="K179:K184" si="60">J179*F179</f>
        <v>0</v>
      </c>
      <c r="L179" s="110"/>
    </row>
    <row r="180" spans="1:12" x14ac:dyDescent="0.25">
      <c r="A180" s="30">
        <f>IF(F180&lt;&gt;"",1+MAX($A$6:A179),"")</f>
        <v>121</v>
      </c>
      <c r="B180" s="107"/>
      <c r="C180" s="37" t="s">
        <v>100</v>
      </c>
      <c r="D180" s="41">
        <f>3.14*2*5*6</f>
        <v>188.4</v>
      </c>
      <c r="E180" s="111">
        <v>0.1</v>
      </c>
      <c r="F180" s="112">
        <f t="shared" si="59"/>
        <v>207.24</v>
      </c>
      <c r="G180" s="113" t="s">
        <v>75</v>
      </c>
      <c r="H180" s="113"/>
      <c r="I180" s="113"/>
      <c r="J180" s="114"/>
      <c r="K180" s="115">
        <f t="shared" si="60"/>
        <v>0</v>
      </c>
      <c r="L180" s="110"/>
    </row>
    <row r="181" spans="1:12" x14ac:dyDescent="0.25">
      <c r="A181" s="30">
        <f>IF(F181&lt;&gt;"",1+MAX($A$6:A180),"")</f>
        <v>122</v>
      </c>
      <c r="B181" s="107"/>
      <c r="C181" s="37" t="s">
        <v>73</v>
      </c>
      <c r="D181" s="41">
        <f>(3.14*4*4*0.25*5*6)/27</f>
        <v>13.955555555555556</v>
      </c>
      <c r="E181" s="111">
        <v>0.1</v>
      </c>
      <c r="F181" s="112">
        <f t="shared" si="59"/>
        <v>15.351111111111113</v>
      </c>
      <c r="G181" s="113" t="s">
        <v>47</v>
      </c>
      <c r="H181" s="113"/>
      <c r="I181" s="113"/>
      <c r="J181" s="114"/>
      <c r="K181" s="115">
        <f t="shared" si="60"/>
        <v>0</v>
      </c>
      <c r="L181" s="110"/>
    </row>
    <row r="182" spans="1:12" x14ac:dyDescent="0.25">
      <c r="A182" s="30">
        <f>IF(F182&lt;&gt;"",1+MAX($A$6:A181),"")</f>
        <v>123</v>
      </c>
      <c r="B182" s="107"/>
      <c r="C182" s="37" t="s">
        <v>74</v>
      </c>
      <c r="D182" s="41">
        <f>(3.14*1*1*0.25*5*6)/27</f>
        <v>0.87222222222222223</v>
      </c>
      <c r="E182" s="111">
        <v>0.1</v>
      </c>
      <c r="F182" s="112">
        <f t="shared" si="59"/>
        <v>0.95944444444444454</v>
      </c>
      <c r="G182" s="113" t="s">
        <v>47</v>
      </c>
      <c r="H182" s="113"/>
      <c r="I182" s="113"/>
      <c r="J182" s="114"/>
      <c r="K182" s="115">
        <f t="shared" si="60"/>
        <v>0</v>
      </c>
      <c r="L182" s="110"/>
    </row>
    <row r="183" spans="1:12" x14ac:dyDescent="0.25">
      <c r="A183" s="30">
        <f>IF(F183&lt;&gt;"",1+MAX($A$6:A182),"")</f>
        <v>124</v>
      </c>
      <c r="B183" s="107"/>
      <c r="C183" s="37" t="s">
        <v>168</v>
      </c>
      <c r="D183" s="41">
        <f>4*5*1.05*1.2*6</f>
        <v>151.19999999999999</v>
      </c>
      <c r="E183" s="111">
        <v>0.1</v>
      </c>
      <c r="F183" s="112">
        <f t="shared" si="59"/>
        <v>166.32</v>
      </c>
      <c r="G183" s="113" t="s">
        <v>64</v>
      </c>
      <c r="H183" s="113"/>
      <c r="I183" s="113"/>
      <c r="J183" s="114"/>
      <c r="K183" s="115">
        <f t="shared" si="60"/>
        <v>0</v>
      </c>
      <c r="L183" s="110"/>
    </row>
    <row r="184" spans="1:12" x14ac:dyDescent="0.25">
      <c r="A184" s="30">
        <f>IF(F184&lt;&gt;"",1+MAX($A$6:A183),"")</f>
        <v>125</v>
      </c>
      <c r="B184" s="107"/>
      <c r="C184" s="37" t="s">
        <v>169</v>
      </c>
      <c r="D184" s="41">
        <f>(7/1+1)*(3.14*2+0.5)*0.375*1.2*6</f>
        <v>146.44799999999998</v>
      </c>
      <c r="E184" s="111">
        <v>0.1</v>
      </c>
      <c r="F184" s="112">
        <f t="shared" si="59"/>
        <v>161.09279999999998</v>
      </c>
      <c r="G184" s="113" t="s">
        <v>64</v>
      </c>
      <c r="H184" s="113"/>
      <c r="I184" s="113"/>
      <c r="J184" s="114"/>
      <c r="K184" s="115">
        <f t="shared" si="60"/>
        <v>0</v>
      </c>
      <c r="L184" s="110"/>
    </row>
    <row r="185" spans="1:12" s="37" customFormat="1" x14ac:dyDescent="0.25">
      <c r="A185" s="30" t="str">
        <f>IF(F185&lt;&gt;"",1+MAX($A$6:A184),"")</f>
        <v/>
      </c>
      <c r="B185" s="31"/>
      <c r="D185" s="41"/>
      <c r="E185" s="28"/>
      <c r="F185" s="32"/>
      <c r="G185" s="29"/>
      <c r="H185" s="29"/>
      <c r="I185" s="29"/>
      <c r="J185" s="33"/>
      <c r="K185" s="34"/>
      <c r="L185" s="35"/>
    </row>
    <row r="186" spans="1:12" s="37" customFormat="1" x14ac:dyDescent="0.25">
      <c r="A186" s="30" t="str">
        <f>IF(F186&lt;&gt;"",1+MAX($A$6:A185),"")</f>
        <v/>
      </c>
      <c r="B186" s="31"/>
      <c r="C186" s="91" t="s">
        <v>184</v>
      </c>
      <c r="D186" s="41"/>
      <c r="E186" s="28"/>
      <c r="F186" s="32"/>
      <c r="G186" s="29"/>
      <c r="H186" s="29"/>
      <c r="I186" s="29"/>
      <c r="J186" s="33"/>
      <c r="K186" s="34"/>
      <c r="L186" s="35"/>
    </row>
    <row r="187" spans="1:12" x14ac:dyDescent="0.25">
      <c r="A187" s="30">
        <f>IF(F187&lt;&gt;"",1+MAX($A$6:A186),"")</f>
        <v>126</v>
      </c>
      <c r="B187" s="107"/>
      <c r="C187" s="45" t="s">
        <v>190</v>
      </c>
      <c r="D187" s="41">
        <v>1</v>
      </c>
      <c r="E187" s="111">
        <v>0</v>
      </c>
      <c r="F187" s="112">
        <f>D187*(1+E187)</f>
        <v>1</v>
      </c>
      <c r="G187" s="113" t="s">
        <v>41</v>
      </c>
      <c r="H187" s="113"/>
      <c r="I187" s="113"/>
      <c r="J187" s="114"/>
      <c r="K187" s="115">
        <f t="shared" ref="K187" si="61">J187*F187</f>
        <v>0</v>
      </c>
      <c r="L187" s="110"/>
    </row>
    <row r="188" spans="1:12" x14ac:dyDescent="0.25">
      <c r="A188" s="30">
        <f>IF(F188&lt;&gt;"",1+MAX($A$6:A187),"")</f>
        <v>127</v>
      </c>
      <c r="B188" s="107"/>
      <c r="C188" s="45" t="s">
        <v>191</v>
      </c>
      <c r="D188" s="41">
        <v>1</v>
      </c>
      <c r="E188" s="111">
        <v>0</v>
      </c>
      <c r="F188" s="112">
        <f>D188*(1+E188)</f>
        <v>1</v>
      </c>
      <c r="G188" s="113" t="s">
        <v>41</v>
      </c>
      <c r="H188" s="113"/>
      <c r="I188" s="113"/>
      <c r="J188" s="114"/>
      <c r="K188" s="115">
        <f t="shared" ref="K188" si="62">J188*F188</f>
        <v>0</v>
      </c>
      <c r="L188" s="110"/>
    </row>
    <row r="189" spans="1:12" x14ac:dyDescent="0.25">
      <c r="A189" s="30" t="str">
        <f>IF(F189&lt;&gt;"",1+MAX($A$6:A188),"")</f>
        <v/>
      </c>
      <c r="B189" s="107"/>
      <c r="C189" s="91" t="s">
        <v>99</v>
      </c>
      <c r="D189" s="41"/>
      <c r="E189" s="111"/>
      <c r="F189" s="112"/>
      <c r="G189" s="113"/>
      <c r="H189" s="113"/>
      <c r="I189" s="113"/>
      <c r="J189" s="114"/>
      <c r="K189" s="115"/>
      <c r="L189" s="110"/>
    </row>
    <row r="190" spans="1:12" x14ac:dyDescent="0.25">
      <c r="A190" s="30">
        <f>IF(F190&lt;&gt;"",1+MAX($A$6:A189),"")</f>
        <v>128</v>
      </c>
      <c r="B190" s="107"/>
      <c r="C190" s="37" t="s">
        <v>71</v>
      </c>
      <c r="D190" s="104">
        <f>5.55/27</f>
        <v>0.20555555555555555</v>
      </c>
      <c r="E190" s="111">
        <v>0.1</v>
      </c>
      <c r="F190" s="112">
        <f t="shared" ref="F190:F195" si="63">D190*(1+E190)</f>
        <v>0.22611111111111112</v>
      </c>
      <c r="G190" s="113" t="s">
        <v>47</v>
      </c>
      <c r="H190" s="113"/>
      <c r="I190" s="113"/>
      <c r="J190" s="114"/>
      <c r="K190" s="115">
        <f t="shared" ref="K190:K195" si="64">J190*F190</f>
        <v>0</v>
      </c>
      <c r="L190" s="110"/>
    </row>
    <row r="191" spans="1:12" x14ac:dyDescent="0.25">
      <c r="A191" s="30">
        <f>IF(F191&lt;&gt;"",1+MAX($A$6:A190),"")</f>
        <v>129</v>
      </c>
      <c r="B191" s="107"/>
      <c r="C191" s="37" t="s">
        <v>100</v>
      </c>
      <c r="D191" s="104">
        <f>5.55</f>
        <v>5.55</v>
      </c>
      <c r="E191" s="111">
        <v>0.1</v>
      </c>
      <c r="F191" s="112">
        <f t="shared" si="63"/>
        <v>6.1050000000000004</v>
      </c>
      <c r="G191" s="113" t="s">
        <v>75</v>
      </c>
      <c r="H191" s="113"/>
      <c r="I191" s="113"/>
      <c r="J191" s="114"/>
      <c r="K191" s="115">
        <f t="shared" si="64"/>
        <v>0</v>
      </c>
      <c r="L191" s="110"/>
    </row>
    <row r="192" spans="1:12" x14ac:dyDescent="0.25">
      <c r="A192" s="30">
        <f>IF(F192&lt;&gt;"",1+MAX($A$6:A191),"")</f>
        <v>130</v>
      </c>
      <c r="B192" s="107"/>
      <c r="C192" s="37" t="s">
        <v>73</v>
      </c>
      <c r="D192" s="104">
        <f>11/27</f>
        <v>0.40740740740740738</v>
      </c>
      <c r="E192" s="111">
        <v>0.1</v>
      </c>
      <c r="F192" s="112">
        <f t="shared" si="63"/>
        <v>0.44814814814814818</v>
      </c>
      <c r="G192" s="113" t="s">
        <v>47</v>
      </c>
      <c r="H192" s="113"/>
      <c r="I192" s="113"/>
      <c r="J192" s="114"/>
      <c r="K192" s="115">
        <f t="shared" si="64"/>
        <v>0</v>
      </c>
      <c r="L192" s="110"/>
    </row>
    <row r="193" spans="1:12" x14ac:dyDescent="0.25">
      <c r="A193" s="30">
        <f>IF(F193&lt;&gt;"",1+MAX($A$6:A192),"")</f>
        <v>131</v>
      </c>
      <c r="B193" s="107"/>
      <c r="C193" s="37" t="s">
        <v>74</v>
      </c>
      <c r="D193" s="104">
        <f>5.55/27</f>
        <v>0.20555555555555555</v>
      </c>
      <c r="E193" s="111">
        <v>0.1</v>
      </c>
      <c r="F193" s="112">
        <f t="shared" si="63"/>
        <v>0.22611111111111112</v>
      </c>
      <c r="G193" s="113" t="s">
        <v>47</v>
      </c>
      <c r="H193" s="113"/>
      <c r="I193" s="113"/>
      <c r="J193" s="114"/>
      <c r="K193" s="115">
        <f t="shared" si="64"/>
        <v>0</v>
      </c>
      <c r="L193" s="110"/>
    </row>
    <row r="194" spans="1:12" x14ac:dyDescent="0.25">
      <c r="A194" s="30">
        <f>IF(F194&lt;&gt;"",1+MAX($A$6:A193),"")</f>
        <v>132</v>
      </c>
      <c r="B194" s="107"/>
      <c r="C194" s="37" t="s">
        <v>168</v>
      </c>
      <c r="D194" s="41">
        <f>4*4*1.05*1.2*1</f>
        <v>20.16</v>
      </c>
      <c r="E194" s="111">
        <v>0.1</v>
      </c>
      <c r="F194" s="112">
        <f t="shared" si="63"/>
        <v>22.176000000000002</v>
      </c>
      <c r="G194" s="113" t="s">
        <v>64</v>
      </c>
      <c r="H194" s="113"/>
      <c r="I194" s="113"/>
      <c r="J194" s="114"/>
      <c r="K194" s="115">
        <f t="shared" si="64"/>
        <v>0</v>
      </c>
      <c r="L194" s="110"/>
    </row>
    <row r="195" spans="1:12" x14ac:dyDescent="0.25">
      <c r="A195" s="30">
        <f>IF(F195&lt;&gt;"",1+MAX($A$6:A194),"")</f>
        <v>133</v>
      </c>
      <c r="B195" s="107"/>
      <c r="C195" s="37" t="s">
        <v>169</v>
      </c>
      <c r="D195" s="41">
        <f>(4/1+1)*(3.14*2+0.5)*0.375*1.2</f>
        <v>15.254999999999997</v>
      </c>
      <c r="E195" s="111">
        <v>0.1</v>
      </c>
      <c r="F195" s="112">
        <f t="shared" si="63"/>
        <v>16.7805</v>
      </c>
      <c r="G195" s="113" t="s">
        <v>64</v>
      </c>
      <c r="H195" s="113"/>
      <c r="I195" s="113"/>
      <c r="J195" s="114"/>
      <c r="K195" s="115">
        <f t="shared" si="64"/>
        <v>0</v>
      </c>
      <c r="L195" s="110"/>
    </row>
    <row r="196" spans="1:12" s="37" customFormat="1" x14ac:dyDescent="0.25">
      <c r="A196" s="30" t="str">
        <f>IF(F196&lt;&gt;"",1+MAX($A$6:A195),"")</f>
        <v/>
      </c>
      <c r="B196" s="31"/>
      <c r="D196" s="41"/>
      <c r="E196" s="28"/>
      <c r="F196" s="32"/>
      <c r="G196" s="29"/>
      <c r="H196" s="29"/>
      <c r="I196" s="29"/>
      <c r="J196" s="33"/>
      <c r="K196" s="34"/>
      <c r="L196" s="35"/>
    </row>
    <row r="197" spans="1:12" s="37" customFormat="1" x14ac:dyDescent="0.25">
      <c r="A197" s="30" t="str">
        <f>IF(F197&lt;&gt;"",1+MAX($A$6:A196),"")</f>
        <v/>
      </c>
      <c r="B197" s="31"/>
      <c r="C197" s="91" t="s">
        <v>183</v>
      </c>
      <c r="D197" s="41"/>
      <c r="E197" s="28"/>
      <c r="F197" s="32"/>
      <c r="G197" s="29"/>
      <c r="H197" s="29"/>
      <c r="I197" s="29"/>
      <c r="J197" s="33"/>
      <c r="K197" s="34"/>
      <c r="L197" s="35"/>
    </row>
    <row r="198" spans="1:12" x14ac:dyDescent="0.25">
      <c r="A198" s="30">
        <f>IF(F198&lt;&gt;"",1+MAX($A$6:A197),"")</f>
        <v>134</v>
      </c>
      <c r="B198" s="107"/>
      <c r="C198" s="45" t="s">
        <v>189</v>
      </c>
      <c r="D198" s="41">
        <v>1</v>
      </c>
      <c r="E198" s="111">
        <v>0</v>
      </c>
      <c r="F198" s="112">
        <f>D198*(1+E198)</f>
        <v>1</v>
      </c>
      <c r="G198" s="113" t="s">
        <v>41</v>
      </c>
      <c r="H198" s="113"/>
      <c r="I198" s="113"/>
      <c r="J198" s="114"/>
      <c r="K198" s="115">
        <f t="shared" ref="K198" si="65">J198*F198</f>
        <v>0</v>
      </c>
      <c r="L198" s="110"/>
    </row>
    <row r="199" spans="1:12" x14ac:dyDescent="0.25">
      <c r="A199" s="30" t="str">
        <f>IF(F199&lt;&gt;"",1+MAX($A$6:A198),"")</f>
        <v/>
      </c>
      <c r="B199" s="107"/>
      <c r="C199" s="91" t="s">
        <v>99</v>
      </c>
      <c r="D199" s="41"/>
      <c r="E199" s="111"/>
      <c r="F199" s="112"/>
      <c r="G199" s="113"/>
      <c r="H199" s="113"/>
      <c r="I199" s="113"/>
      <c r="J199" s="114"/>
      <c r="K199" s="115"/>
      <c r="L199" s="110"/>
    </row>
    <row r="200" spans="1:12" x14ac:dyDescent="0.25">
      <c r="A200" s="30">
        <f>IF(F200&lt;&gt;"",1+MAX($A$6:A199),"")</f>
        <v>135</v>
      </c>
      <c r="B200" s="107"/>
      <c r="C200" s="37" t="s">
        <v>71</v>
      </c>
      <c r="D200" s="104">
        <f>2/27</f>
        <v>7.407407407407407E-2</v>
      </c>
      <c r="E200" s="111">
        <v>0.1</v>
      </c>
      <c r="F200" s="112">
        <f t="shared" ref="F200:F205" si="66">D200*(1+E200)</f>
        <v>8.1481481481481488E-2</v>
      </c>
      <c r="G200" s="113" t="s">
        <v>47</v>
      </c>
      <c r="H200" s="113"/>
      <c r="I200" s="113"/>
      <c r="J200" s="114"/>
      <c r="K200" s="115">
        <f t="shared" ref="K200:K205" si="67">J200*F200</f>
        <v>0</v>
      </c>
      <c r="L200" s="110"/>
    </row>
    <row r="201" spans="1:12" x14ac:dyDescent="0.25">
      <c r="A201" s="30">
        <f>IF(F201&lt;&gt;"",1+MAX($A$6:A200),"")</f>
        <v>136</v>
      </c>
      <c r="B201" s="107"/>
      <c r="C201" s="37" t="s">
        <v>100</v>
      </c>
      <c r="D201" s="104">
        <f>2</f>
        <v>2</v>
      </c>
      <c r="E201" s="111">
        <v>0.1</v>
      </c>
      <c r="F201" s="112">
        <f t="shared" si="66"/>
        <v>2.2000000000000002</v>
      </c>
      <c r="G201" s="113" t="s">
        <v>75</v>
      </c>
      <c r="H201" s="113"/>
      <c r="I201" s="113"/>
      <c r="J201" s="114"/>
      <c r="K201" s="115">
        <f t="shared" si="67"/>
        <v>0</v>
      </c>
      <c r="L201" s="110"/>
    </row>
    <row r="202" spans="1:12" x14ac:dyDescent="0.25">
      <c r="A202" s="30">
        <f>IF(F202&lt;&gt;"",1+MAX($A$6:A201),"")</f>
        <v>137</v>
      </c>
      <c r="B202" s="107"/>
      <c r="C202" s="37" t="s">
        <v>73</v>
      </c>
      <c r="D202" s="104">
        <f>4/27</f>
        <v>0.14814814814814814</v>
      </c>
      <c r="E202" s="111">
        <v>0.1</v>
      </c>
      <c r="F202" s="112">
        <f t="shared" si="66"/>
        <v>0.16296296296296298</v>
      </c>
      <c r="G202" s="113" t="s">
        <v>47</v>
      </c>
      <c r="H202" s="113"/>
      <c r="I202" s="113"/>
      <c r="J202" s="114"/>
      <c r="K202" s="115">
        <f t="shared" si="67"/>
        <v>0</v>
      </c>
      <c r="L202" s="110"/>
    </row>
    <row r="203" spans="1:12" x14ac:dyDescent="0.25">
      <c r="A203" s="30">
        <f>IF(F203&lt;&gt;"",1+MAX($A$6:A202),"")</f>
        <v>138</v>
      </c>
      <c r="B203" s="107"/>
      <c r="C203" s="37" t="s">
        <v>74</v>
      </c>
      <c r="D203" s="104">
        <f>2/27</f>
        <v>7.407407407407407E-2</v>
      </c>
      <c r="E203" s="111">
        <v>0.1</v>
      </c>
      <c r="F203" s="112">
        <f t="shared" si="66"/>
        <v>8.1481481481481488E-2</v>
      </c>
      <c r="G203" s="113" t="s">
        <v>47</v>
      </c>
      <c r="H203" s="113"/>
      <c r="I203" s="113"/>
      <c r="J203" s="114"/>
      <c r="K203" s="115">
        <f t="shared" si="67"/>
        <v>0</v>
      </c>
      <c r="L203" s="110"/>
    </row>
    <row r="204" spans="1:12" x14ac:dyDescent="0.25">
      <c r="A204" s="30">
        <f>IF(F204&lt;&gt;"",1+MAX($A$6:A203),"")</f>
        <v>139</v>
      </c>
      <c r="B204" s="107"/>
      <c r="C204" s="37" t="s">
        <v>168</v>
      </c>
      <c r="D204" s="41">
        <f>4*2*1.05*1.2</f>
        <v>10.08</v>
      </c>
      <c r="E204" s="111">
        <v>0.1</v>
      </c>
      <c r="F204" s="112">
        <f t="shared" si="66"/>
        <v>11.088000000000001</v>
      </c>
      <c r="G204" s="113" t="s">
        <v>64</v>
      </c>
      <c r="H204" s="113"/>
      <c r="I204" s="113"/>
      <c r="J204" s="114"/>
      <c r="K204" s="115">
        <f t="shared" si="67"/>
        <v>0</v>
      </c>
      <c r="L204" s="110"/>
    </row>
    <row r="205" spans="1:12" x14ac:dyDescent="0.25">
      <c r="A205" s="30">
        <f>IF(F205&lt;&gt;"",1+MAX($A$6:A204),"")</f>
        <v>140</v>
      </c>
      <c r="B205" s="107"/>
      <c r="C205" s="37" t="s">
        <v>169</v>
      </c>
      <c r="D205" s="41">
        <f>(2/1+1)*(2*2+0.5)*0.375*1.2</f>
        <v>6.0750000000000002</v>
      </c>
      <c r="E205" s="111">
        <v>0.1</v>
      </c>
      <c r="F205" s="112">
        <f t="shared" si="66"/>
        <v>6.682500000000001</v>
      </c>
      <c r="G205" s="113" t="s">
        <v>64</v>
      </c>
      <c r="H205" s="113"/>
      <c r="I205" s="113"/>
      <c r="J205" s="114"/>
      <c r="K205" s="115">
        <f t="shared" si="67"/>
        <v>0</v>
      </c>
      <c r="L205" s="110"/>
    </row>
    <row r="206" spans="1:12" s="37" customFormat="1" x14ac:dyDescent="0.25">
      <c r="A206" s="30" t="str">
        <f>IF(F206&lt;&gt;"",1+MAX($A$6:A205),"")</f>
        <v/>
      </c>
      <c r="B206" s="31"/>
      <c r="D206" s="41"/>
      <c r="E206" s="28"/>
      <c r="F206" s="32"/>
      <c r="G206" s="29"/>
      <c r="H206" s="29"/>
      <c r="I206" s="29"/>
      <c r="J206" s="33"/>
      <c r="K206" s="34"/>
      <c r="L206" s="35"/>
    </row>
    <row r="207" spans="1:12" s="37" customFormat="1" x14ac:dyDescent="0.25">
      <c r="A207" s="30" t="str">
        <f>IF(F207&lt;&gt;"",1+MAX($A$6:A206),"")</f>
        <v/>
      </c>
      <c r="B207" s="31"/>
      <c r="C207" s="91" t="s">
        <v>182</v>
      </c>
      <c r="D207" s="41"/>
      <c r="E207" s="28"/>
      <c r="F207" s="32"/>
      <c r="G207" s="29"/>
      <c r="H207" s="29"/>
      <c r="I207" s="29"/>
      <c r="J207" s="33"/>
      <c r="K207" s="34"/>
      <c r="L207" s="35"/>
    </row>
    <row r="208" spans="1:12" x14ac:dyDescent="0.25">
      <c r="A208" s="30">
        <f>IF(F208&lt;&gt;"",1+MAX($A$6:A207),"")</f>
        <v>141</v>
      </c>
      <c r="B208" s="107"/>
      <c r="C208" s="45" t="s">
        <v>192</v>
      </c>
      <c r="D208" s="41">
        <v>1</v>
      </c>
      <c r="E208" s="111">
        <v>0</v>
      </c>
      <c r="F208" s="112">
        <f>D208*(1+E208)</f>
        <v>1</v>
      </c>
      <c r="G208" s="113" t="s">
        <v>41</v>
      </c>
      <c r="H208" s="113"/>
      <c r="I208" s="113"/>
      <c r="J208" s="114"/>
      <c r="K208" s="115">
        <f t="shared" ref="K208" si="68">J208*F208</f>
        <v>0</v>
      </c>
      <c r="L208" s="110"/>
    </row>
    <row r="209" spans="1:12" x14ac:dyDescent="0.25">
      <c r="A209" s="30">
        <f>IF(F209&lt;&gt;"",1+MAX($A$6:A208),"")</f>
        <v>142</v>
      </c>
      <c r="B209" s="107"/>
      <c r="C209" s="45" t="s">
        <v>193</v>
      </c>
      <c r="D209" s="41">
        <v>1</v>
      </c>
      <c r="E209" s="111">
        <v>0</v>
      </c>
      <c r="F209" s="112">
        <f>D209*(1+E209)</f>
        <v>1</v>
      </c>
      <c r="G209" s="113" t="s">
        <v>41</v>
      </c>
      <c r="H209" s="113"/>
      <c r="I209" s="113"/>
      <c r="J209" s="114"/>
      <c r="K209" s="115">
        <f t="shared" ref="K209" si="69">J209*F209</f>
        <v>0</v>
      </c>
      <c r="L209" s="110"/>
    </row>
    <row r="210" spans="1:12" x14ac:dyDescent="0.25">
      <c r="A210" s="30" t="str">
        <f>IF(F210&lt;&gt;"",1+MAX($A$6:A209),"")</f>
        <v/>
      </c>
      <c r="B210" s="107"/>
      <c r="C210" s="91" t="s">
        <v>99</v>
      </c>
      <c r="D210" s="41"/>
      <c r="E210" s="111"/>
      <c r="F210" s="112"/>
      <c r="G210" s="113"/>
      <c r="H210" s="113"/>
      <c r="I210" s="113"/>
      <c r="J210" s="114"/>
      <c r="K210" s="115"/>
      <c r="L210" s="110"/>
    </row>
    <row r="211" spans="1:12" x14ac:dyDescent="0.25">
      <c r="A211" s="30">
        <f>IF(F211&lt;&gt;"",1+MAX($A$6:A210),"")</f>
        <v>143</v>
      </c>
      <c r="B211" s="107"/>
      <c r="C211" s="37" t="s">
        <v>71</v>
      </c>
      <c r="D211" s="104">
        <v>0.4</v>
      </c>
      <c r="E211" s="111">
        <v>0.1</v>
      </c>
      <c r="F211" s="112">
        <f t="shared" ref="F211:F216" si="70">D211*(1+E211)</f>
        <v>0.44000000000000006</v>
      </c>
      <c r="G211" s="113" t="s">
        <v>47</v>
      </c>
      <c r="H211" s="113"/>
      <c r="I211" s="113"/>
      <c r="J211" s="114"/>
      <c r="K211" s="115">
        <f t="shared" ref="K211:K216" si="71">J211*F211</f>
        <v>0</v>
      </c>
      <c r="L211" s="110"/>
    </row>
    <row r="212" spans="1:12" x14ac:dyDescent="0.25">
      <c r="A212" s="30">
        <f>IF(F212&lt;&gt;"",1+MAX($A$6:A211),"")</f>
        <v>144</v>
      </c>
      <c r="B212" s="107"/>
      <c r="C212" s="37" t="s">
        <v>100</v>
      </c>
      <c r="D212" s="104">
        <f>1.7*6</f>
        <v>10.199999999999999</v>
      </c>
      <c r="E212" s="111">
        <v>0.1</v>
      </c>
      <c r="F212" s="112">
        <f t="shared" si="70"/>
        <v>11.22</v>
      </c>
      <c r="G212" s="113" t="s">
        <v>75</v>
      </c>
      <c r="H212" s="113"/>
      <c r="I212" s="113"/>
      <c r="J212" s="114"/>
      <c r="K212" s="115">
        <f t="shared" si="71"/>
        <v>0</v>
      </c>
      <c r="L212" s="110"/>
    </row>
    <row r="213" spans="1:12" x14ac:dyDescent="0.25">
      <c r="A213" s="30">
        <f>IF(F213&lt;&gt;"",1+MAX($A$6:A212),"")</f>
        <v>145</v>
      </c>
      <c r="B213" s="107"/>
      <c r="C213" s="37" t="s">
        <v>73</v>
      </c>
      <c r="D213" s="104">
        <f>(20.4)/27</f>
        <v>0.75555555555555554</v>
      </c>
      <c r="E213" s="111">
        <v>0.1</v>
      </c>
      <c r="F213" s="112">
        <f t="shared" si="70"/>
        <v>0.83111111111111113</v>
      </c>
      <c r="G213" s="113" t="s">
        <v>47</v>
      </c>
      <c r="H213" s="113"/>
      <c r="I213" s="113"/>
      <c r="J213" s="114"/>
      <c r="K213" s="115">
        <f t="shared" si="71"/>
        <v>0</v>
      </c>
      <c r="L213" s="110"/>
    </row>
    <row r="214" spans="1:12" x14ac:dyDescent="0.25">
      <c r="A214" s="30">
        <f>IF(F214&lt;&gt;"",1+MAX($A$6:A213),"")</f>
        <v>146</v>
      </c>
      <c r="B214" s="107"/>
      <c r="C214" s="37" t="s">
        <v>74</v>
      </c>
      <c r="D214" s="104">
        <f>(10.2)/27</f>
        <v>0.37777777777777777</v>
      </c>
      <c r="E214" s="111">
        <v>0.1</v>
      </c>
      <c r="F214" s="112">
        <f t="shared" si="70"/>
        <v>0.41555555555555557</v>
      </c>
      <c r="G214" s="113" t="s">
        <v>47</v>
      </c>
      <c r="H214" s="113"/>
      <c r="I214" s="113"/>
      <c r="J214" s="114"/>
      <c r="K214" s="115">
        <f t="shared" si="71"/>
        <v>0</v>
      </c>
      <c r="L214" s="110"/>
    </row>
    <row r="215" spans="1:12" x14ac:dyDescent="0.25">
      <c r="A215" s="30">
        <f>IF(F215&lt;&gt;"",1+MAX($A$6:A214),"")</f>
        <v>147</v>
      </c>
      <c r="B215" s="107"/>
      <c r="C215" s="37" t="s">
        <v>188</v>
      </c>
      <c r="D215" s="41">
        <f>6*6*1.4*1.2*1</f>
        <v>60.48</v>
      </c>
      <c r="E215" s="111">
        <v>0.1</v>
      </c>
      <c r="F215" s="112">
        <f t="shared" si="70"/>
        <v>66.528000000000006</v>
      </c>
      <c r="G215" s="113" t="s">
        <v>64</v>
      </c>
      <c r="H215" s="113"/>
      <c r="I215" s="113"/>
      <c r="J215" s="114"/>
      <c r="K215" s="115">
        <f t="shared" si="71"/>
        <v>0</v>
      </c>
      <c r="L215" s="110"/>
    </row>
    <row r="216" spans="1:12" x14ac:dyDescent="0.25">
      <c r="A216" s="30">
        <f>IF(F216&lt;&gt;"",1+MAX($A$6:A215),"")</f>
        <v>148</v>
      </c>
      <c r="B216" s="107"/>
      <c r="C216" s="37" t="s">
        <v>169</v>
      </c>
      <c r="D216" s="41">
        <f>(6/1+1)*(3.14*2+0.5)*0.375*1.2</f>
        <v>21.356999999999999</v>
      </c>
      <c r="E216" s="111">
        <v>0.1</v>
      </c>
      <c r="F216" s="112">
        <f t="shared" si="70"/>
        <v>23.492700000000003</v>
      </c>
      <c r="G216" s="113" t="s">
        <v>64</v>
      </c>
      <c r="H216" s="113"/>
      <c r="I216" s="113"/>
      <c r="J216" s="114"/>
      <c r="K216" s="115">
        <f t="shared" si="71"/>
        <v>0</v>
      </c>
      <c r="L216" s="110"/>
    </row>
    <row r="217" spans="1:12" s="37" customFormat="1" x14ac:dyDescent="0.25">
      <c r="A217" s="30" t="str">
        <f>IF(F217&lt;&gt;"",1+MAX($A$6:A216),"")</f>
        <v/>
      </c>
      <c r="B217" s="31"/>
      <c r="D217" s="41"/>
      <c r="E217" s="28"/>
      <c r="F217" s="32"/>
      <c r="G217" s="29"/>
      <c r="H217" s="29"/>
      <c r="I217" s="29"/>
      <c r="J217" s="33"/>
      <c r="K217" s="34"/>
      <c r="L217" s="35"/>
    </row>
    <row r="218" spans="1:12" x14ac:dyDescent="0.25">
      <c r="A218" s="30" t="str">
        <f>IF(F218&lt;&gt;"",1+MAX($A$6:A217),"")</f>
        <v/>
      </c>
      <c r="B218" s="107"/>
      <c r="C218" s="91" t="s">
        <v>107</v>
      </c>
      <c r="D218" s="41"/>
      <c r="E218" s="111"/>
      <c r="F218" s="112"/>
      <c r="G218" s="113"/>
      <c r="H218" s="113"/>
      <c r="I218" s="113"/>
      <c r="J218" s="114"/>
      <c r="K218" s="115"/>
      <c r="L218" s="110"/>
    </row>
    <row r="219" spans="1:12" x14ac:dyDescent="0.25">
      <c r="A219" s="30">
        <f>IF(F219&lt;&gt;"",1+MAX($A$6:A218),"")</f>
        <v>149</v>
      </c>
      <c r="B219" s="107"/>
      <c r="C219" s="37" t="s">
        <v>147</v>
      </c>
      <c r="D219" s="41">
        <v>230</v>
      </c>
      <c r="E219" s="111">
        <v>0.1</v>
      </c>
      <c r="F219" s="112">
        <f t="shared" ref="F219" si="72">D219*(1+E219)</f>
        <v>253.00000000000003</v>
      </c>
      <c r="G219" s="113" t="s">
        <v>40</v>
      </c>
      <c r="H219" s="113"/>
      <c r="I219" s="113"/>
      <c r="J219" s="114"/>
      <c r="K219" s="115">
        <f t="shared" ref="K219" si="73">J219*F219</f>
        <v>0</v>
      </c>
      <c r="L219" s="110"/>
    </row>
    <row r="220" spans="1:12" x14ac:dyDescent="0.25">
      <c r="A220" s="30">
        <f>IF(F220&lt;&gt;"",1+MAX($A$6:A219),"")</f>
        <v>150</v>
      </c>
      <c r="B220" s="107"/>
      <c r="C220" s="37" t="s">
        <v>148</v>
      </c>
      <c r="D220" s="41">
        <v>48</v>
      </c>
      <c r="E220" s="111">
        <v>0.1</v>
      </c>
      <c r="F220" s="112">
        <f t="shared" ref="F220" si="74">D220*(1+E220)</f>
        <v>52.800000000000004</v>
      </c>
      <c r="G220" s="113" t="s">
        <v>40</v>
      </c>
      <c r="H220" s="113"/>
      <c r="I220" s="113"/>
      <c r="J220" s="114"/>
      <c r="K220" s="115">
        <f t="shared" ref="K220" si="75">J220*F220</f>
        <v>0</v>
      </c>
      <c r="L220" s="110"/>
    </row>
    <row r="221" spans="1:12" x14ac:dyDescent="0.25">
      <c r="A221" s="30" t="str">
        <f>IF(F221&lt;&gt;"",1+MAX($A$6:A220),"")</f>
        <v/>
      </c>
      <c r="B221" s="107"/>
      <c r="C221" s="91" t="s">
        <v>104</v>
      </c>
      <c r="D221" s="41"/>
      <c r="E221" s="111"/>
      <c r="F221" s="112"/>
      <c r="G221" s="113"/>
      <c r="H221" s="113"/>
      <c r="I221" s="113"/>
      <c r="J221" s="114"/>
      <c r="K221" s="115"/>
      <c r="L221" s="110"/>
    </row>
    <row r="222" spans="1:12" x14ac:dyDescent="0.25">
      <c r="A222" s="30">
        <f>IF(F222&lt;&gt;"",1+MAX($A$6:A221),"")</f>
        <v>151</v>
      </c>
      <c r="B222" s="107"/>
      <c r="C222" s="37" t="s">
        <v>73</v>
      </c>
      <c r="D222" s="104">
        <f>278*1*3/27</f>
        <v>30.888888888888889</v>
      </c>
      <c r="E222" s="111">
        <v>0.1</v>
      </c>
      <c r="F222" s="112">
        <f t="shared" ref="F222:F223" si="76">D222*(1+E222)</f>
        <v>33.977777777777781</v>
      </c>
      <c r="G222" s="113" t="s">
        <v>47</v>
      </c>
      <c r="H222" s="113"/>
      <c r="I222" s="113"/>
      <c r="J222" s="114"/>
      <c r="K222" s="115">
        <f t="shared" ref="K222:K223" si="77">J222*F222</f>
        <v>0</v>
      </c>
      <c r="L222" s="110"/>
    </row>
    <row r="223" spans="1:12" x14ac:dyDescent="0.25">
      <c r="A223" s="30">
        <f>IF(F223&lt;&gt;"",1+MAX($A$6:A222),"")</f>
        <v>152</v>
      </c>
      <c r="B223" s="107"/>
      <c r="C223" s="37" t="s">
        <v>74</v>
      </c>
      <c r="D223" s="104">
        <f>D222-278*0.25*0.25*0.25*3.14/27</f>
        <v>30.383726851851851</v>
      </c>
      <c r="E223" s="111">
        <v>0.1</v>
      </c>
      <c r="F223" s="112">
        <f t="shared" si="76"/>
        <v>33.422099537037042</v>
      </c>
      <c r="G223" s="113" t="s">
        <v>47</v>
      </c>
      <c r="H223" s="113"/>
      <c r="I223" s="113"/>
      <c r="J223" s="114"/>
      <c r="K223" s="115">
        <f t="shared" si="77"/>
        <v>0</v>
      </c>
      <c r="L223" s="110"/>
    </row>
    <row r="224" spans="1:12" x14ac:dyDescent="0.25">
      <c r="A224" s="30" t="str">
        <f>IF(F224&lt;&gt;"",1+MAX($A$6:A223),"")</f>
        <v/>
      </c>
      <c r="B224" s="107"/>
      <c r="C224" s="127" t="s">
        <v>105</v>
      </c>
      <c r="D224" s="41"/>
      <c r="E224" s="111"/>
      <c r="F224" s="112"/>
      <c r="G224" s="113"/>
      <c r="H224" s="113"/>
      <c r="I224" s="113"/>
      <c r="J224" s="114"/>
      <c r="K224" s="115"/>
      <c r="L224" s="110"/>
    </row>
    <row r="225" spans="1:12" x14ac:dyDescent="0.25">
      <c r="A225" s="30" t="str">
        <f>IF(F225&lt;&gt;"",1+MAX($A$6:A224),"")</f>
        <v/>
      </c>
      <c r="B225" s="107"/>
      <c r="C225" s="37"/>
      <c r="D225" s="41"/>
      <c r="E225" s="111"/>
      <c r="F225" s="112"/>
      <c r="G225" s="113"/>
      <c r="H225" s="113"/>
      <c r="I225" s="113"/>
      <c r="J225" s="114"/>
      <c r="K225" s="115"/>
      <c r="L225" s="110"/>
    </row>
    <row r="226" spans="1:12" x14ac:dyDescent="0.25">
      <c r="A226" s="30">
        <f>IF(F226&lt;&gt;"",1+MAX($A$6:A225),"")</f>
        <v>153</v>
      </c>
      <c r="B226" s="107"/>
      <c r="C226" s="37" t="s">
        <v>142</v>
      </c>
      <c r="D226" s="41">
        <v>178</v>
      </c>
      <c r="E226" s="111">
        <v>0.1</v>
      </c>
      <c r="F226" s="112">
        <f t="shared" ref="F226" si="78">D226*(1+E226)</f>
        <v>195.8</v>
      </c>
      <c r="G226" s="113" t="s">
        <v>40</v>
      </c>
      <c r="H226" s="113"/>
      <c r="I226" s="113"/>
      <c r="J226" s="114"/>
      <c r="K226" s="115">
        <f t="shared" ref="K226" si="79">J226*F226</f>
        <v>0</v>
      </c>
      <c r="L226" s="110"/>
    </row>
    <row r="227" spans="1:12" x14ac:dyDescent="0.25">
      <c r="A227" s="30">
        <f>IF(F227&lt;&gt;"",1+MAX($A$6:A226),"")</f>
        <v>154</v>
      </c>
      <c r="B227" s="107"/>
      <c r="C227" s="37" t="s">
        <v>138</v>
      </c>
      <c r="D227" s="41">
        <v>155</v>
      </c>
      <c r="E227" s="111">
        <v>0.1</v>
      </c>
      <c r="F227" s="112">
        <f t="shared" ref="F227:F228" si="80">D227*(1+E227)</f>
        <v>170.5</v>
      </c>
      <c r="G227" s="113" t="s">
        <v>40</v>
      </c>
      <c r="H227" s="113"/>
      <c r="I227" s="113"/>
      <c r="J227" s="114"/>
      <c r="K227" s="115">
        <f t="shared" ref="K227:K228" si="81">J227*F227</f>
        <v>0</v>
      </c>
      <c r="L227" s="110"/>
    </row>
    <row r="228" spans="1:12" x14ac:dyDescent="0.25">
      <c r="A228" s="30">
        <f>IF(F228&lt;&gt;"",1+MAX($A$6:A227),"")</f>
        <v>155</v>
      </c>
      <c r="B228" s="107"/>
      <c r="C228" s="37" t="s">
        <v>140</v>
      </c>
      <c r="D228" s="41">
        <v>160</v>
      </c>
      <c r="E228" s="111">
        <v>0.1</v>
      </c>
      <c r="F228" s="112">
        <f t="shared" si="80"/>
        <v>176</v>
      </c>
      <c r="G228" s="113" t="s">
        <v>40</v>
      </c>
      <c r="H228" s="113"/>
      <c r="I228" s="113"/>
      <c r="J228" s="114"/>
      <c r="K228" s="115">
        <f t="shared" si="81"/>
        <v>0</v>
      </c>
      <c r="L228" s="110"/>
    </row>
    <row r="229" spans="1:12" x14ac:dyDescent="0.25">
      <c r="A229" s="30">
        <f>IF(F229&lt;&gt;"",1+MAX($A$6:A228),"")</f>
        <v>156</v>
      </c>
      <c r="B229" s="107"/>
      <c r="C229" s="37" t="s">
        <v>139</v>
      </c>
      <c r="D229" s="41">
        <v>885</v>
      </c>
      <c r="E229" s="111">
        <v>0.1</v>
      </c>
      <c r="F229" s="112">
        <f t="shared" ref="F229" si="82">D229*(1+E229)</f>
        <v>973.50000000000011</v>
      </c>
      <c r="G229" s="113" t="s">
        <v>40</v>
      </c>
      <c r="H229" s="113"/>
      <c r="I229" s="113"/>
      <c r="J229" s="114"/>
      <c r="K229" s="115">
        <f t="shared" ref="K229" si="83">J229*F229</f>
        <v>0</v>
      </c>
      <c r="L229" s="110"/>
    </row>
    <row r="230" spans="1:12" x14ac:dyDescent="0.25">
      <c r="A230" s="30">
        <f>IF(F230&lt;&gt;"",1+MAX($A$6:A229),"")</f>
        <v>157</v>
      </c>
      <c r="B230" s="107"/>
      <c r="C230" s="37" t="s">
        <v>141</v>
      </c>
      <c r="D230" s="41">
        <v>245</v>
      </c>
      <c r="E230" s="111">
        <v>0.1</v>
      </c>
      <c r="F230" s="112">
        <f t="shared" ref="F230" si="84">D230*(1+E230)</f>
        <v>269.5</v>
      </c>
      <c r="G230" s="113" t="s">
        <v>40</v>
      </c>
      <c r="H230" s="113"/>
      <c r="I230" s="113"/>
      <c r="J230" s="114"/>
      <c r="K230" s="115">
        <f t="shared" ref="K230" si="85">J230*F230</f>
        <v>0</v>
      </c>
      <c r="L230" s="110"/>
    </row>
    <row r="231" spans="1:12" x14ac:dyDescent="0.25">
      <c r="A231" s="30">
        <f>IF(F231&lt;&gt;"",1+MAX($A$6:A230),"")</f>
        <v>158</v>
      </c>
      <c r="B231" s="107"/>
      <c r="C231" s="37" t="s">
        <v>146</v>
      </c>
      <c r="D231" s="41">
        <v>65</v>
      </c>
      <c r="E231" s="111">
        <v>0.1</v>
      </c>
      <c r="F231" s="112">
        <f t="shared" ref="F231" si="86">D231*(1+E231)</f>
        <v>71.5</v>
      </c>
      <c r="G231" s="113" t="s">
        <v>40</v>
      </c>
      <c r="H231" s="113"/>
      <c r="I231" s="113"/>
      <c r="J231" s="114"/>
      <c r="K231" s="115">
        <f t="shared" ref="K231" si="87">J231*F231</f>
        <v>0</v>
      </c>
      <c r="L231" s="110"/>
    </row>
    <row r="232" spans="1:12" x14ac:dyDescent="0.25">
      <c r="A232" s="30" t="str">
        <f>IF(F232&lt;&gt;"",1+MAX($A$6:A231),"")</f>
        <v/>
      </c>
      <c r="B232" s="107"/>
      <c r="C232" s="91" t="s">
        <v>106</v>
      </c>
      <c r="D232" s="41"/>
      <c r="E232" s="111"/>
      <c r="F232" s="112"/>
      <c r="G232" s="113"/>
      <c r="H232" s="113"/>
      <c r="I232" s="113"/>
      <c r="J232" s="114"/>
      <c r="K232" s="115"/>
      <c r="L232" s="110"/>
    </row>
    <row r="233" spans="1:12" x14ac:dyDescent="0.25">
      <c r="A233" s="30">
        <f>IF(F233&lt;&gt;"",1+MAX($A$6:A232),"")</f>
        <v>159</v>
      </c>
      <c r="B233" s="107"/>
      <c r="C233" s="37" t="s">
        <v>73</v>
      </c>
      <c r="D233" s="41">
        <f>1630*2.5*5/27</f>
        <v>754.62962962962968</v>
      </c>
      <c r="E233" s="111">
        <v>0.1</v>
      </c>
      <c r="F233" s="112">
        <f t="shared" ref="F233:F235" si="88">D233*(1+E233)</f>
        <v>830.09259259259272</v>
      </c>
      <c r="G233" s="113" t="s">
        <v>47</v>
      </c>
      <c r="H233" s="113"/>
      <c r="I233" s="113"/>
      <c r="J233" s="114"/>
      <c r="K233" s="115">
        <f t="shared" ref="K233:K235" si="89">J233*F233</f>
        <v>0</v>
      </c>
      <c r="L233" s="110"/>
    </row>
    <row r="234" spans="1:12" x14ac:dyDescent="0.25">
      <c r="A234" s="30">
        <f>IF(F234&lt;&gt;"",1+MAX($A$6:A233),"")</f>
        <v>160</v>
      </c>
      <c r="B234" s="107"/>
      <c r="C234" s="37" t="s">
        <v>79</v>
      </c>
      <c r="D234" s="41">
        <f>1630*0.67*0.5/27</f>
        <v>20.224074074074078</v>
      </c>
      <c r="E234" s="111">
        <v>0.1</v>
      </c>
      <c r="F234" s="112">
        <f t="shared" si="88"/>
        <v>22.246481481481489</v>
      </c>
      <c r="G234" s="113" t="s">
        <v>47</v>
      </c>
      <c r="H234" s="113"/>
      <c r="I234" s="113"/>
      <c r="J234" s="114"/>
      <c r="K234" s="115">
        <f t="shared" si="89"/>
        <v>0</v>
      </c>
      <c r="L234" s="110"/>
    </row>
    <row r="235" spans="1:12" x14ac:dyDescent="0.25">
      <c r="A235" s="30">
        <f>IF(F235&lt;&gt;"",1+MAX($A$6:A234),"")</f>
        <v>161</v>
      </c>
      <c r="B235" s="107"/>
      <c r="C235" s="37" t="s">
        <v>74</v>
      </c>
      <c r="D235" s="41">
        <f>D233-D234-167*0.67*0.67*0.25/27*3.14</f>
        <v>732.22597979629631</v>
      </c>
      <c r="E235" s="111">
        <v>0.1</v>
      </c>
      <c r="F235" s="112">
        <f t="shared" si="88"/>
        <v>805.44857777592597</v>
      </c>
      <c r="G235" s="113" t="s">
        <v>47</v>
      </c>
      <c r="H235" s="113"/>
      <c r="I235" s="113"/>
      <c r="J235" s="114"/>
      <c r="K235" s="115">
        <f t="shared" si="89"/>
        <v>0</v>
      </c>
      <c r="L235" s="110"/>
    </row>
    <row r="236" spans="1:12" x14ac:dyDescent="0.25">
      <c r="A236" s="30" t="str">
        <f>IF(F236&lt;&gt;"",1+MAX($A$6:A235),"")</f>
        <v/>
      </c>
      <c r="B236" s="107"/>
      <c r="C236" s="127" t="s">
        <v>105</v>
      </c>
      <c r="D236" s="41"/>
      <c r="E236" s="111"/>
      <c r="F236" s="112"/>
      <c r="G236" s="113"/>
      <c r="H236" s="113"/>
      <c r="I236" s="113"/>
      <c r="J236" s="114"/>
      <c r="K236" s="115"/>
      <c r="L236" s="110"/>
    </row>
    <row r="237" spans="1:12" x14ac:dyDescent="0.25">
      <c r="A237" s="30" t="str">
        <f>IF(F237&lt;&gt;"",1+MAX($A$6:A236),"")</f>
        <v/>
      </c>
      <c r="B237" s="107"/>
      <c r="C237" s="37"/>
      <c r="D237" s="41"/>
      <c r="E237" s="111"/>
      <c r="F237" s="112"/>
      <c r="G237" s="113"/>
      <c r="H237" s="113"/>
      <c r="I237" s="113"/>
      <c r="J237" s="114"/>
      <c r="K237" s="115"/>
      <c r="L237" s="110"/>
    </row>
    <row r="238" spans="1:12" x14ac:dyDescent="0.25">
      <c r="A238" s="30">
        <f>IF(F238&lt;&gt;"",1+MAX($A$6:A237),"")</f>
        <v>162</v>
      </c>
      <c r="B238" s="107"/>
      <c r="C238" s="37" t="s">
        <v>143</v>
      </c>
      <c r="D238" s="41">
        <v>1</v>
      </c>
      <c r="E238" s="111">
        <v>0</v>
      </c>
      <c r="F238" s="112">
        <f t="shared" ref="F238:F239" si="90">D238*(1+E238)</f>
        <v>1</v>
      </c>
      <c r="G238" s="113" t="s">
        <v>41</v>
      </c>
      <c r="H238" s="113"/>
      <c r="I238" s="113"/>
      <c r="J238" s="114"/>
      <c r="K238" s="115">
        <f t="shared" ref="K238:K239" si="91">J238*F238</f>
        <v>0</v>
      </c>
      <c r="L238" s="110"/>
    </row>
    <row r="239" spans="1:12" x14ac:dyDescent="0.25">
      <c r="A239" s="30">
        <f>IF(F239&lt;&gt;"",1+MAX($A$6:A238),"")</f>
        <v>163</v>
      </c>
      <c r="B239" s="107"/>
      <c r="C239" s="37" t="s">
        <v>145</v>
      </c>
      <c r="D239" s="41">
        <v>1</v>
      </c>
      <c r="E239" s="111">
        <v>0</v>
      </c>
      <c r="F239" s="112">
        <f t="shared" si="90"/>
        <v>1</v>
      </c>
      <c r="G239" s="113" t="s">
        <v>41</v>
      </c>
      <c r="H239" s="113"/>
      <c r="I239" s="113"/>
      <c r="J239" s="114"/>
      <c r="K239" s="115">
        <f t="shared" si="91"/>
        <v>0</v>
      </c>
      <c r="L239" s="110"/>
    </row>
    <row r="240" spans="1:12" x14ac:dyDescent="0.25">
      <c r="A240" s="30">
        <f>IF(F240&lt;&gt;"",1+MAX($A$6:A239),"")</f>
        <v>164</v>
      </c>
      <c r="B240" s="107"/>
      <c r="C240" s="37" t="s">
        <v>108</v>
      </c>
      <c r="D240" s="41">
        <v>5</v>
      </c>
      <c r="E240" s="111">
        <v>0</v>
      </c>
      <c r="F240" s="112">
        <f t="shared" ref="F240" si="92">D240*(1+E240)</f>
        <v>5</v>
      </c>
      <c r="G240" s="113" t="s">
        <v>41</v>
      </c>
      <c r="H240" s="113"/>
      <c r="I240" s="113"/>
      <c r="J240" s="114"/>
      <c r="K240" s="115">
        <f t="shared" ref="K240" si="93">J240*F240</f>
        <v>0</v>
      </c>
      <c r="L240" s="110"/>
    </row>
    <row r="241" spans="1:12" x14ac:dyDescent="0.25">
      <c r="A241" s="30">
        <f>IF(F241&lt;&gt;"",1+MAX($A$6:A240),"")</f>
        <v>165</v>
      </c>
      <c r="B241" s="107"/>
      <c r="C241" s="37" t="s">
        <v>144</v>
      </c>
      <c r="D241" s="41">
        <v>1</v>
      </c>
      <c r="E241" s="111">
        <v>0</v>
      </c>
      <c r="F241" s="112">
        <f t="shared" ref="F241" si="94">D241*(1+E241)</f>
        <v>1</v>
      </c>
      <c r="G241" s="113" t="s">
        <v>41</v>
      </c>
      <c r="H241" s="113"/>
      <c r="I241" s="113"/>
      <c r="J241" s="114"/>
      <c r="K241" s="115">
        <f t="shared" ref="K241" si="95">J241*F241</f>
        <v>0</v>
      </c>
      <c r="L241" s="110"/>
    </row>
    <row r="242" spans="1:12" s="37" customFormat="1" x14ac:dyDescent="0.25">
      <c r="A242" s="30" t="str">
        <f>IF(F242&lt;&gt;"",1+MAX($A$6:A241),"")</f>
        <v/>
      </c>
      <c r="B242" s="31"/>
      <c r="D242" s="41"/>
      <c r="E242" s="28"/>
      <c r="F242" s="32"/>
      <c r="G242" s="29"/>
      <c r="H242" s="29"/>
      <c r="I242" s="29"/>
      <c r="J242" s="33"/>
      <c r="K242" s="34"/>
      <c r="L242" s="35"/>
    </row>
    <row r="243" spans="1:12" s="6" customFormat="1" x14ac:dyDescent="0.25">
      <c r="A243" s="30" t="str">
        <f>IF(F243&lt;&gt;"",1+MAX($A$6:A242),"")</f>
        <v/>
      </c>
      <c r="B243" s="11"/>
      <c r="C243" s="40" t="s">
        <v>59</v>
      </c>
      <c r="D243" s="92"/>
      <c r="E243" s="3"/>
      <c r="F243" s="1"/>
      <c r="G243" s="4"/>
      <c r="H243" s="4"/>
      <c r="I243" s="4"/>
      <c r="J243" s="24"/>
      <c r="K243" s="20"/>
      <c r="L243" s="5"/>
    </row>
    <row r="244" spans="1:12" s="6" customFormat="1" x14ac:dyDescent="0.25">
      <c r="A244" s="30">
        <f>IF(F244&lt;&gt;"",1+MAX($A$6:A243),"")</f>
        <v>166</v>
      </c>
      <c r="B244" s="11"/>
      <c r="C244" s="37" t="s">
        <v>132</v>
      </c>
      <c r="D244" s="41">
        <v>175</v>
      </c>
      <c r="E244" s="28">
        <v>0.1</v>
      </c>
      <c r="F244" s="32">
        <f t="shared" ref="F244:F245" si="96">D244*(1+E244)</f>
        <v>192.50000000000003</v>
      </c>
      <c r="G244" s="29" t="s">
        <v>40</v>
      </c>
      <c r="H244" s="29"/>
      <c r="I244" s="29"/>
      <c r="J244" s="33"/>
      <c r="K244" s="34">
        <f t="shared" ref="K244:K245" si="97">J244*F244</f>
        <v>0</v>
      </c>
      <c r="L244" s="5"/>
    </row>
    <row r="245" spans="1:12" s="37" customFormat="1" x14ac:dyDescent="0.25">
      <c r="A245" s="30">
        <f>IF(F245&lt;&gt;"",1+MAX($A$6:A244),"")</f>
        <v>167</v>
      </c>
      <c r="B245" s="31"/>
      <c r="C245" s="37" t="s">
        <v>133</v>
      </c>
      <c r="D245" s="41">
        <v>598</v>
      </c>
      <c r="E245" s="28">
        <v>0.1</v>
      </c>
      <c r="F245" s="32">
        <f t="shared" si="96"/>
        <v>657.80000000000007</v>
      </c>
      <c r="G245" s="29" t="s">
        <v>40</v>
      </c>
      <c r="H245" s="29"/>
      <c r="I245" s="29"/>
      <c r="J245" s="33"/>
      <c r="K245" s="34">
        <f t="shared" si="97"/>
        <v>0</v>
      </c>
      <c r="L245" s="35"/>
    </row>
    <row r="246" spans="1:12" s="37" customFormat="1" x14ac:dyDescent="0.25">
      <c r="A246" s="30">
        <f>IF(F246&lt;&gt;"",1+MAX($A$6:A245),"")</f>
        <v>168</v>
      </c>
      <c r="B246" s="31"/>
      <c r="C246" s="37" t="s">
        <v>134</v>
      </c>
      <c r="D246" s="41">
        <v>28</v>
      </c>
      <c r="E246" s="28">
        <v>0.1</v>
      </c>
      <c r="F246" s="32">
        <f t="shared" ref="F246" si="98">D246*(1+E246)</f>
        <v>30.800000000000004</v>
      </c>
      <c r="G246" s="29" t="s">
        <v>40</v>
      </c>
      <c r="H246" s="29"/>
      <c r="I246" s="29"/>
      <c r="J246" s="33"/>
      <c r="K246" s="34">
        <f t="shared" ref="K246" si="99">J246*F246</f>
        <v>0</v>
      </c>
      <c r="L246" s="35"/>
    </row>
    <row r="247" spans="1:12" s="37" customFormat="1" x14ac:dyDescent="0.25">
      <c r="A247" s="30" t="str">
        <f>IF(F247&lt;&gt;"",1+MAX($A$6:A246),"")</f>
        <v/>
      </c>
      <c r="B247" s="31"/>
      <c r="C247" s="91" t="s">
        <v>77</v>
      </c>
      <c r="D247" s="41"/>
      <c r="E247" s="28"/>
      <c r="F247" s="32"/>
      <c r="G247" s="29"/>
      <c r="H247" s="29"/>
      <c r="I247" s="29"/>
      <c r="J247" s="33"/>
      <c r="K247" s="34"/>
      <c r="L247" s="35"/>
    </row>
    <row r="248" spans="1:12" s="37" customFormat="1" x14ac:dyDescent="0.25">
      <c r="A248" s="30">
        <f>IF(F248&lt;&gt;"",1+MAX($A$6:A247),"")</f>
        <v>169</v>
      </c>
      <c r="B248" s="31"/>
      <c r="C248" s="37" t="s">
        <v>80</v>
      </c>
      <c r="D248" s="41">
        <f>801*2*7/27+801*7*7*0.5/27*2</f>
        <v>1869</v>
      </c>
      <c r="E248" s="28">
        <v>0.1</v>
      </c>
      <c r="F248" s="32">
        <f t="shared" ref="F248" si="100">D248*(1+E248)</f>
        <v>2055.9</v>
      </c>
      <c r="G248" s="29" t="s">
        <v>47</v>
      </c>
      <c r="H248" s="29"/>
      <c r="I248" s="29"/>
      <c r="J248" s="33"/>
      <c r="K248" s="34">
        <f t="shared" ref="K248" si="101">J248*F248</f>
        <v>0</v>
      </c>
      <c r="L248" s="35"/>
    </row>
    <row r="249" spans="1:12" s="37" customFormat="1" x14ac:dyDescent="0.25">
      <c r="A249" s="30">
        <f>IF(F249&lt;&gt;"",1+MAX($A$6:A248),"")</f>
        <v>170</v>
      </c>
      <c r="B249" s="31"/>
      <c r="C249" s="37" t="s">
        <v>78</v>
      </c>
      <c r="D249" s="41">
        <f>D248-D250</f>
        <v>1761.921875</v>
      </c>
      <c r="E249" s="28">
        <v>0.1</v>
      </c>
      <c r="F249" s="32">
        <f t="shared" ref="F249" si="102">D249*(1+E249)</f>
        <v>1938.1140625</v>
      </c>
      <c r="G249" s="29" t="s">
        <v>47</v>
      </c>
      <c r="H249" s="29"/>
      <c r="I249" s="29"/>
      <c r="J249" s="33"/>
      <c r="K249" s="34">
        <f t="shared" ref="K249" si="103">J249*F249</f>
        <v>0</v>
      </c>
      <c r="L249" s="35"/>
    </row>
    <row r="250" spans="1:12" s="37" customFormat="1" x14ac:dyDescent="0.25">
      <c r="A250" s="30">
        <f>IF(F250&lt;&gt;"",1+MAX($A$6:A249),"")</f>
        <v>171</v>
      </c>
      <c r="B250" s="31"/>
      <c r="C250" s="37" t="s">
        <v>79</v>
      </c>
      <c r="D250" s="41">
        <f>801*2*2/27-801*1.25*1.25*0.25/27</f>
        <v>107.078125</v>
      </c>
      <c r="E250" s="28">
        <v>0.1</v>
      </c>
      <c r="F250" s="32">
        <f t="shared" ref="F250" si="104">D250*(1+E250)</f>
        <v>117.7859375</v>
      </c>
      <c r="G250" s="29" t="s">
        <v>47</v>
      </c>
      <c r="H250" s="29"/>
      <c r="I250" s="29"/>
      <c r="J250" s="33"/>
      <c r="K250" s="34">
        <f t="shared" ref="K250" si="105">J250*F250</f>
        <v>0</v>
      </c>
      <c r="L250" s="35"/>
    </row>
    <row r="251" spans="1:12" s="37" customFormat="1" x14ac:dyDescent="0.25">
      <c r="A251" s="30" t="str">
        <f>IF(F251&lt;&gt;"",1+MAX($A$6:A250),"")</f>
        <v/>
      </c>
      <c r="B251" s="31"/>
      <c r="C251" s="127" t="s">
        <v>86</v>
      </c>
      <c r="D251" s="41"/>
      <c r="E251" s="28"/>
      <c r="F251" s="32"/>
      <c r="G251" s="29"/>
      <c r="H251" s="29"/>
      <c r="I251" s="29"/>
      <c r="J251" s="33"/>
      <c r="K251" s="34"/>
      <c r="L251" s="35"/>
    </row>
    <row r="252" spans="1:12" s="37" customFormat="1" x14ac:dyDescent="0.25">
      <c r="A252" s="30">
        <f>IF(F252&lt;&gt;"",1+MAX($A$6:A251),"")</f>
        <v>172</v>
      </c>
      <c r="B252" s="31"/>
      <c r="C252" s="37" t="s">
        <v>135</v>
      </c>
      <c r="D252" s="41">
        <v>4</v>
      </c>
      <c r="E252" s="28">
        <v>0</v>
      </c>
      <c r="F252" s="32">
        <f t="shared" ref="F252" si="106">D252*(1+E252)</f>
        <v>4</v>
      </c>
      <c r="G252" s="29" t="s">
        <v>41</v>
      </c>
      <c r="H252" s="29"/>
      <c r="I252" s="29"/>
      <c r="J252" s="33"/>
      <c r="K252" s="34">
        <f t="shared" ref="K252" si="107">J252*F252</f>
        <v>0</v>
      </c>
      <c r="L252" s="35"/>
    </row>
    <row r="253" spans="1:12" s="37" customFormat="1" x14ac:dyDescent="0.25">
      <c r="A253" s="30">
        <f>IF(F253&lt;&gt;"",1+MAX($A$6:A252),"")</f>
        <v>173</v>
      </c>
      <c r="B253" s="31"/>
      <c r="C253" s="37" t="s">
        <v>136</v>
      </c>
      <c r="D253" s="41">
        <v>3</v>
      </c>
      <c r="E253" s="28">
        <v>0</v>
      </c>
      <c r="F253" s="32">
        <f t="shared" ref="F253" si="108">D253*(1+E253)</f>
        <v>3</v>
      </c>
      <c r="G253" s="29" t="s">
        <v>41</v>
      </c>
      <c r="H253" s="29"/>
      <c r="I253" s="29"/>
      <c r="J253" s="33"/>
      <c r="K253" s="34">
        <f t="shared" ref="K253" si="109">J253*F253</f>
        <v>0</v>
      </c>
      <c r="L253" s="35"/>
    </row>
    <row r="254" spans="1:12" s="37" customFormat="1" x14ac:dyDescent="0.25">
      <c r="A254" s="30">
        <f>IF(F254&lt;&gt;"",1+MAX($A$6:A253),"")</f>
        <v>174</v>
      </c>
      <c r="B254" s="31"/>
      <c r="C254" s="37" t="s">
        <v>137</v>
      </c>
      <c r="D254" s="41">
        <v>1</v>
      </c>
      <c r="E254" s="28">
        <v>0</v>
      </c>
      <c r="F254" s="32">
        <f t="shared" ref="F254" si="110">D254*(1+E254)</f>
        <v>1</v>
      </c>
      <c r="G254" s="29" t="s">
        <v>41</v>
      </c>
      <c r="H254" s="29"/>
      <c r="I254" s="29"/>
      <c r="J254" s="33"/>
      <c r="K254" s="34">
        <f t="shared" ref="K254" si="111">J254*F254</f>
        <v>0</v>
      </c>
      <c r="L254" s="35"/>
    </row>
    <row r="255" spans="1:12" s="37" customFormat="1" x14ac:dyDescent="0.25">
      <c r="A255" s="30" t="str">
        <f>IF(F255&lt;&gt;"",1+MAX($A$6:A254),"")</f>
        <v/>
      </c>
      <c r="B255" s="31"/>
      <c r="D255" s="41"/>
      <c r="E255" s="28"/>
      <c r="F255" s="32"/>
      <c r="G255" s="29"/>
      <c r="H255" s="29"/>
      <c r="I255" s="29"/>
      <c r="J255" s="33"/>
      <c r="K255" s="34"/>
      <c r="L255" s="35"/>
    </row>
    <row r="256" spans="1:12" x14ac:dyDescent="0.25">
      <c r="A256" s="30" t="str">
        <f>IF(F256&lt;&gt;"",1+MAX($A$6:A255),"")</f>
        <v/>
      </c>
      <c r="B256" s="107"/>
      <c r="C256" s="91" t="s">
        <v>56</v>
      </c>
      <c r="D256" s="41"/>
      <c r="E256" s="111"/>
      <c r="F256" s="112"/>
      <c r="G256" s="113"/>
      <c r="H256" s="113"/>
      <c r="I256" s="113"/>
      <c r="J256" s="114"/>
      <c r="K256" s="115"/>
      <c r="L256" s="110"/>
    </row>
    <row r="257" spans="1:12" ht="30" x14ac:dyDescent="0.25">
      <c r="A257" s="30">
        <f>IF(F257&lt;&gt;"",1+MAX($A$6:A256),"")</f>
        <v>175</v>
      </c>
      <c r="B257" s="107"/>
      <c r="C257" s="45" t="s">
        <v>149</v>
      </c>
      <c r="D257" s="41">
        <v>6</v>
      </c>
      <c r="E257" s="111">
        <v>0</v>
      </c>
      <c r="F257" s="112">
        <f>D257*(1+E257)</f>
        <v>6</v>
      </c>
      <c r="G257" s="113" t="s">
        <v>41</v>
      </c>
      <c r="H257" s="113"/>
      <c r="I257" s="113"/>
      <c r="J257" s="114"/>
      <c r="K257" s="115">
        <f t="shared" ref="K257" si="112">J257*F257</f>
        <v>0</v>
      </c>
      <c r="L257" s="110"/>
    </row>
    <row r="258" spans="1:12" x14ac:dyDescent="0.25">
      <c r="A258" s="30" t="str">
        <f>IF(F258&lt;&gt;"",1+MAX($A$6:A257),"")</f>
        <v/>
      </c>
      <c r="B258" s="107"/>
      <c r="C258" s="91" t="s">
        <v>99</v>
      </c>
      <c r="D258" s="41"/>
      <c r="E258" s="111"/>
      <c r="F258" s="112"/>
      <c r="G258" s="113"/>
      <c r="H258" s="113"/>
      <c r="I258" s="113"/>
      <c r="J258" s="114"/>
      <c r="K258" s="115"/>
      <c r="L258" s="110"/>
    </row>
    <row r="259" spans="1:12" x14ac:dyDescent="0.25">
      <c r="A259" s="30">
        <f>IF(F259&lt;&gt;"",1+MAX($A$6:A258),"")</f>
        <v>176</v>
      </c>
      <c r="B259" s="107"/>
      <c r="C259" s="37" t="s">
        <v>71</v>
      </c>
      <c r="D259" s="41">
        <f>(3.14*2*2*0.25*9*6)/27</f>
        <v>6.28</v>
      </c>
      <c r="E259" s="111">
        <v>0.1</v>
      </c>
      <c r="F259" s="112">
        <f t="shared" ref="F259:F264" si="113">D259*(1+E259)</f>
        <v>6.9080000000000013</v>
      </c>
      <c r="G259" s="113" t="s">
        <v>47</v>
      </c>
      <c r="H259" s="113"/>
      <c r="I259" s="113"/>
      <c r="J259" s="114"/>
      <c r="K259" s="115">
        <f t="shared" ref="K259:K264" si="114">J259*F259</f>
        <v>0</v>
      </c>
      <c r="L259" s="110"/>
    </row>
    <row r="260" spans="1:12" x14ac:dyDescent="0.25">
      <c r="A260" s="30">
        <f>IF(F260&lt;&gt;"",1+MAX($A$6:A259),"")</f>
        <v>177</v>
      </c>
      <c r="B260" s="107"/>
      <c r="C260" s="37" t="s">
        <v>100</v>
      </c>
      <c r="D260" s="41">
        <f>3.14*2*9*6</f>
        <v>339.12</v>
      </c>
      <c r="E260" s="111">
        <v>0.1</v>
      </c>
      <c r="F260" s="112">
        <f t="shared" si="113"/>
        <v>373.03200000000004</v>
      </c>
      <c r="G260" s="113" t="s">
        <v>75</v>
      </c>
      <c r="H260" s="113"/>
      <c r="I260" s="113"/>
      <c r="J260" s="114"/>
      <c r="K260" s="115">
        <f t="shared" si="114"/>
        <v>0</v>
      </c>
      <c r="L260" s="110"/>
    </row>
    <row r="261" spans="1:12" x14ac:dyDescent="0.25">
      <c r="A261" s="30">
        <f>IF(F261&lt;&gt;"",1+MAX($A$6:A260),"")</f>
        <v>178</v>
      </c>
      <c r="B261" s="107"/>
      <c r="C261" s="37" t="s">
        <v>73</v>
      </c>
      <c r="D261" s="41">
        <f>(3.14*4*4*0.25*7*6)/27</f>
        <v>19.537777777777777</v>
      </c>
      <c r="E261" s="111">
        <v>0.1</v>
      </c>
      <c r="F261" s="112">
        <f t="shared" si="113"/>
        <v>21.491555555555557</v>
      </c>
      <c r="G261" s="113" t="s">
        <v>47</v>
      </c>
      <c r="H261" s="113"/>
      <c r="I261" s="113"/>
      <c r="J261" s="114"/>
      <c r="K261" s="115">
        <f t="shared" si="114"/>
        <v>0</v>
      </c>
      <c r="L261" s="110"/>
    </row>
    <row r="262" spans="1:12" x14ac:dyDescent="0.25">
      <c r="A262" s="30">
        <f>IF(F262&lt;&gt;"",1+MAX($A$6:A261),"")</f>
        <v>179</v>
      </c>
      <c r="B262" s="107"/>
      <c r="C262" s="37" t="s">
        <v>74</v>
      </c>
      <c r="D262" s="41">
        <f>(3.14*1*1*0.25*7*6)/27</f>
        <v>1.221111111111111</v>
      </c>
      <c r="E262" s="111">
        <v>0.1</v>
      </c>
      <c r="F262" s="112">
        <f t="shared" si="113"/>
        <v>1.3432222222222223</v>
      </c>
      <c r="G262" s="113" t="s">
        <v>47</v>
      </c>
      <c r="H262" s="113"/>
      <c r="I262" s="113"/>
      <c r="J262" s="114"/>
      <c r="K262" s="115">
        <f t="shared" si="114"/>
        <v>0</v>
      </c>
      <c r="L262" s="110"/>
    </row>
    <row r="263" spans="1:12" x14ac:dyDescent="0.25">
      <c r="A263" s="30">
        <f>IF(F263&lt;&gt;"",1+MAX($A$6:A262),"")</f>
        <v>180</v>
      </c>
      <c r="B263" s="107"/>
      <c r="C263" s="37" t="s">
        <v>168</v>
      </c>
      <c r="D263" s="41">
        <f>4*7*1.05*1.2*6</f>
        <v>211.68</v>
      </c>
      <c r="E263" s="111">
        <v>0.1</v>
      </c>
      <c r="F263" s="112">
        <f t="shared" si="113"/>
        <v>232.84800000000001</v>
      </c>
      <c r="G263" s="113" t="s">
        <v>64</v>
      </c>
      <c r="H263" s="113"/>
      <c r="I263" s="113"/>
      <c r="J263" s="114"/>
      <c r="K263" s="115">
        <f t="shared" si="114"/>
        <v>0</v>
      </c>
      <c r="L263" s="110"/>
    </row>
    <row r="264" spans="1:12" x14ac:dyDescent="0.25">
      <c r="A264" s="30">
        <f>IF(F264&lt;&gt;"",1+MAX($A$6:A263),"")</f>
        <v>181</v>
      </c>
      <c r="B264" s="107"/>
      <c r="C264" s="37" t="s">
        <v>169</v>
      </c>
      <c r="D264" s="41">
        <f>(7/1+1)*(3.14*2+0.5)*0.375*1.2*6</f>
        <v>146.44799999999998</v>
      </c>
      <c r="E264" s="111">
        <v>0.1</v>
      </c>
      <c r="F264" s="112">
        <f t="shared" si="113"/>
        <v>161.09279999999998</v>
      </c>
      <c r="G264" s="113" t="s">
        <v>64</v>
      </c>
      <c r="H264" s="113"/>
      <c r="I264" s="113"/>
      <c r="J264" s="114"/>
      <c r="K264" s="115">
        <f t="shared" si="114"/>
        <v>0</v>
      </c>
      <c r="L264" s="110"/>
    </row>
    <row r="265" spans="1:12" x14ac:dyDescent="0.25">
      <c r="A265" s="30" t="str">
        <f>IF(F265&lt;&gt;"",1+MAX($A$6:A264),"")</f>
        <v/>
      </c>
      <c r="B265" s="107"/>
      <c r="C265" s="127" t="s">
        <v>126</v>
      </c>
      <c r="D265" s="41"/>
      <c r="E265" s="111"/>
      <c r="F265" s="112"/>
      <c r="G265" s="113"/>
      <c r="H265" s="113"/>
      <c r="I265" s="113"/>
      <c r="J265" s="114"/>
      <c r="K265" s="115"/>
      <c r="L265" s="110"/>
    </row>
    <row r="266" spans="1:12" s="37" customFormat="1" x14ac:dyDescent="0.25">
      <c r="A266" s="30" t="str">
        <f>IF(F266&lt;&gt;"",1+MAX($A$6:A265),"")</f>
        <v/>
      </c>
      <c r="B266" s="31"/>
      <c r="D266" s="41"/>
      <c r="E266" s="28"/>
      <c r="F266" s="32"/>
      <c r="G266" s="29"/>
      <c r="H266" s="29"/>
      <c r="I266" s="29"/>
      <c r="J266" s="33"/>
      <c r="K266" s="34"/>
      <c r="L266" s="35"/>
    </row>
    <row r="267" spans="1:12" x14ac:dyDescent="0.25">
      <c r="A267" s="30" t="str">
        <f>IF(F267&lt;&gt;"",1+MAX($A$6:A266),"")</f>
        <v/>
      </c>
      <c r="B267" s="107"/>
      <c r="C267" s="91" t="s">
        <v>101</v>
      </c>
      <c r="D267" s="41"/>
      <c r="E267" s="111"/>
      <c r="F267" s="112"/>
      <c r="G267" s="113"/>
      <c r="H267" s="113"/>
      <c r="I267" s="113"/>
      <c r="J267" s="114"/>
      <c r="K267" s="115"/>
      <c r="L267" s="110"/>
    </row>
    <row r="268" spans="1:12" ht="45" x14ac:dyDescent="0.25">
      <c r="A268" s="30">
        <f>IF(F268&lt;&gt;"",1+MAX($A$6:A267),"")</f>
        <v>182</v>
      </c>
      <c r="B268" s="107"/>
      <c r="C268" s="45" t="s">
        <v>150</v>
      </c>
      <c r="D268" s="112">
        <v>1</v>
      </c>
      <c r="E268" s="111">
        <v>0</v>
      </c>
      <c r="F268" s="112">
        <f t="shared" ref="F268" si="115">D268*(1+E268)</f>
        <v>1</v>
      </c>
      <c r="G268" s="113" t="s">
        <v>41</v>
      </c>
      <c r="H268" s="113"/>
      <c r="I268" s="113"/>
      <c r="J268" s="114"/>
      <c r="K268" s="115">
        <f t="shared" ref="K268" si="116">J268*F268</f>
        <v>0</v>
      </c>
      <c r="L268" s="110"/>
    </row>
    <row r="269" spans="1:12" ht="45" x14ac:dyDescent="0.25">
      <c r="A269" s="30">
        <f>IF(F269&lt;&gt;"",1+MAX($A$6:A268),"")</f>
        <v>183</v>
      </c>
      <c r="B269" s="107"/>
      <c r="C269" s="45" t="s">
        <v>152</v>
      </c>
      <c r="D269" s="112">
        <v>1</v>
      </c>
      <c r="E269" s="111">
        <v>0</v>
      </c>
      <c r="F269" s="112">
        <f t="shared" ref="F269" si="117">D269*(1+E269)</f>
        <v>1</v>
      </c>
      <c r="G269" s="113" t="s">
        <v>41</v>
      </c>
      <c r="H269" s="113"/>
      <c r="I269" s="113"/>
      <c r="J269" s="114"/>
      <c r="K269" s="115">
        <f t="shared" ref="K269" si="118">J269*F269</f>
        <v>0</v>
      </c>
      <c r="L269" s="110"/>
    </row>
    <row r="270" spans="1:12" ht="45" x14ac:dyDescent="0.25">
      <c r="A270" s="30">
        <f>IF(F270&lt;&gt;"",1+MAX($A$6:A269),"")</f>
        <v>184</v>
      </c>
      <c r="B270" s="107"/>
      <c r="C270" s="45" t="s">
        <v>151</v>
      </c>
      <c r="D270" s="112">
        <v>3</v>
      </c>
      <c r="E270" s="111">
        <v>0</v>
      </c>
      <c r="F270" s="112">
        <f t="shared" ref="F270" si="119">D270*(1+E270)</f>
        <v>3</v>
      </c>
      <c r="G270" s="113" t="s">
        <v>41</v>
      </c>
      <c r="H270" s="113"/>
      <c r="I270" s="113"/>
      <c r="J270" s="114"/>
      <c r="K270" s="115">
        <f t="shared" ref="K270" si="120">J270*F270</f>
        <v>0</v>
      </c>
      <c r="L270" s="110"/>
    </row>
    <row r="271" spans="1:12" ht="45" x14ac:dyDescent="0.25">
      <c r="A271" s="30">
        <f>IF(F271&lt;&gt;"",1+MAX($A$6:A270),"")</f>
        <v>185</v>
      </c>
      <c r="B271" s="107"/>
      <c r="C271" s="45" t="s">
        <v>153</v>
      </c>
      <c r="D271" s="112">
        <v>1</v>
      </c>
      <c r="E271" s="111">
        <v>0</v>
      </c>
      <c r="F271" s="112">
        <f t="shared" ref="F271" si="121">D271*(1+E271)</f>
        <v>1</v>
      </c>
      <c r="G271" s="113" t="s">
        <v>41</v>
      </c>
      <c r="H271" s="113"/>
      <c r="I271" s="113"/>
      <c r="J271" s="114"/>
      <c r="K271" s="115">
        <f t="shared" ref="K271" si="122">J271*F271</f>
        <v>0</v>
      </c>
      <c r="L271" s="110"/>
    </row>
    <row r="272" spans="1:12" s="37" customFormat="1" x14ac:dyDescent="0.25">
      <c r="A272" s="30" t="str">
        <f>IF(F272&lt;&gt;"",1+MAX($A$6:A271),"")</f>
        <v/>
      </c>
      <c r="B272" s="31"/>
      <c r="D272" s="41"/>
      <c r="E272" s="28"/>
      <c r="F272" s="32"/>
      <c r="G272" s="29"/>
      <c r="H272" s="29"/>
      <c r="I272" s="29"/>
      <c r="J272" s="33"/>
      <c r="K272" s="34"/>
      <c r="L272" s="35"/>
    </row>
    <row r="273" spans="1:12" x14ac:dyDescent="0.25">
      <c r="A273" s="30" t="str">
        <f>IF(F273&lt;&gt;"",1+MAX($A$6:A272),"")</f>
        <v/>
      </c>
      <c r="B273" s="107"/>
      <c r="C273" s="40" t="s">
        <v>94</v>
      </c>
      <c r="E273" s="109"/>
      <c r="J273" s="24"/>
      <c r="K273" s="20"/>
      <c r="L273" s="110"/>
    </row>
    <row r="274" spans="1:12" x14ac:dyDescent="0.25">
      <c r="A274" s="30" t="str">
        <f>IF(F274&lt;&gt;"",1+MAX($A$6:A273),"")</f>
        <v/>
      </c>
      <c r="B274" s="107"/>
      <c r="C274" s="40" t="s">
        <v>95</v>
      </c>
      <c r="E274" s="109"/>
      <c r="J274" s="24"/>
      <c r="K274" s="20"/>
      <c r="L274" s="110"/>
    </row>
    <row r="275" spans="1:12" x14ac:dyDescent="0.25">
      <c r="A275" s="30">
        <f>IF(F275&lt;&gt;"",1+MAX($A$6:A274),"")</f>
        <v>186</v>
      </c>
      <c r="B275" s="107"/>
      <c r="C275" s="45" t="s">
        <v>154</v>
      </c>
      <c r="D275" s="116">
        <v>1</v>
      </c>
      <c r="E275" s="111">
        <v>0</v>
      </c>
      <c r="F275" s="112">
        <f t="shared" ref="F275:F276" si="123">D275*(1+E275)</f>
        <v>1</v>
      </c>
      <c r="G275" s="113" t="s">
        <v>41</v>
      </c>
      <c r="H275" s="113"/>
      <c r="I275" s="113"/>
      <c r="J275" s="114"/>
      <c r="K275" s="115">
        <f t="shared" ref="K275:K276" si="124">J275*F275</f>
        <v>0</v>
      </c>
      <c r="L275" s="110"/>
    </row>
    <row r="276" spans="1:12" ht="30" x14ac:dyDescent="0.25">
      <c r="A276" s="30">
        <f>IF(F276&lt;&gt;"",1+MAX($A$6:A275),"")</f>
        <v>187</v>
      </c>
      <c r="B276" s="107"/>
      <c r="C276" s="45" t="s">
        <v>155</v>
      </c>
      <c r="D276" s="116">
        <v>3</v>
      </c>
      <c r="E276" s="111">
        <v>0</v>
      </c>
      <c r="F276" s="112">
        <f t="shared" si="123"/>
        <v>3</v>
      </c>
      <c r="G276" s="113" t="s">
        <v>41</v>
      </c>
      <c r="H276" s="113"/>
      <c r="I276" s="113"/>
      <c r="J276" s="114"/>
      <c r="K276" s="115">
        <f t="shared" si="124"/>
        <v>0</v>
      </c>
      <c r="L276" s="110"/>
    </row>
    <row r="277" spans="1:12" x14ac:dyDescent="0.25">
      <c r="A277" s="30" t="str">
        <f>IF(F277&lt;&gt;"",1+MAX($A$6:A276),"")</f>
        <v/>
      </c>
      <c r="B277" s="107"/>
      <c r="C277" s="40" t="s">
        <v>96</v>
      </c>
      <c r="D277" s="116"/>
      <c r="E277" s="109"/>
      <c r="J277" s="24"/>
      <c r="K277" s="20"/>
      <c r="L277" s="110"/>
    </row>
    <row r="278" spans="1:12" x14ac:dyDescent="0.25">
      <c r="A278" s="30">
        <f>IF(F278&lt;&gt;"",1+MAX($A$6:A277),"")</f>
        <v>188</v>
      </c>
      <c r="B278" s="107"/>
      <c r="C278" s="45" t="s">
        <v>159</v>
      </c>
      <c r="D278" s="116">
        <v>14</v>
      </c>
      <c r="E278" s="111">
        <v>0</v>
      </c>
      <c r="F278" s="112">
        <f t="shared" ref="F278:F282" si="125">D278*(1+E278)</f>
        <v>14</v>
      </c>
      <c r="G278" s="113" t="s">
        <v>41</v>
      </c>
      <c r="H278" s="113"/>
      <c r="I278" s="113"/>
      <c r="J278" s="114"/>
      <c r="K278" s="115">
        <f t="shared" ref="K278:K282" si="126">J278*F278</f>
        <v>0</v>
      </c>
      <c r="L278" s="110"/>
    </row>
    <row r="279" spans="1:12" x14ac:dyDescent="0.25">
      <c r="A279" s="30">
        <f>IF(F279&lt;&gt;"",1+MAX($A$6:A278),"")</f>
        <v>189</v>
      </c>
      <c r="B279" s="107"/>
      <c r="C279" s="45" t="s">
        <v>160</v>
      </c>
      <c r="D279" s="116">
        <v>18</v>
      </c>
      <c r="E279" s="111">
        <v>0</v>
      </c>
      <c r="F279" s="112">
        <f t="shared" si="125"/>
        <v>18</v>
      </c>
      <c r="G279" s="113" t="s">
        <v>41</v>
      </c>
      <c r="H279" s="113"/>
      <c r="I279" s="113"/>
      <c r="J279" s="114"/>
      <c r="K279" s="115">
        <f t="shared" si="126"/>
        <v>0</v>
      </c>
      <c r="L279" s="110"/>
    </row>
    <row r="280" spans="1:12" x14ac:dyDescent="0.25">
      <c r="A280" s="30">
        <f>IF(F280&lt;&gt;"",1+MAX($A$6:A279),"")</f>
        <v>190</v>
      </c>
      <c r="B280" s="107"/>
      <c r="C280" s="45" t="s">
        <v>161</v>
      </c>
      <c r="D280" s="116">
        <v>18</v>
      </c>
      <c r="E280" s="111">
        <v>0</v>
      </c>
      <c r="F280" s="112">
        <f t="shared" si="125"/>
        <v>18</v>
      </c>
      <c r="G280" s="113" t="s">
        <v>41</v>
      </c>
      <c r="H280" s="113"/>
      <c r="I280" s="113"/>
      <c r="J280" s="114"/>
      <c r="K280" s="115">
        <f t="shared" si="126"/>
        <v>0</v>
      </c>
      <c r="L280" s="110"/>
    </row>
    <row r="281" spans="1:12" ht="30" x14ac:dyDescent="0.25">
      <c r="A281" s="30">
        <f>IF(F281&lt;&gt;"",1+MAX($A$6:A280),"")</f>
        <v>191</v>
      </c>
      <c r="B281" s="107"/>
      <c r="C281" s="45" t="s">
        <v>162</v>
      </c>
      <c r="D281" s="116">
        <v>2</v>
      </c>
      <c r="E281" s="111">
        <v>0</v>
      </c>
      <c r="F281" s="112">
        <f t="shared" si="125"/>
        <v>2</v>
      </c>
      <c r="G281" s="113" t="s">
        <v>41</v>
      </c>
      <c r="H281" s="113"/>
      <c r="I281" s="113"/>
      <c r="J281" s="114"/>
      <c r="K281" s="115">
        <f t="shared" si="126"/>
        <v>0</v>
      </c>
      <c r="L281" s="110"/>
    </row>
    <row r="282" spans="1:12" ht="30" x14ac:dyDescent="0.25">
      <c r="A282" s="30">
        <f>IF(F282&lt;&gt;"",1+MAX($A$6:A281),"")</f>
        <v>192</v>
      </c>
      <c r="B282" s="107"/>
      <c r="C282" s="45" t="s">
        <v>163</v>
      </c>
      <c r="D282" s="116">
        <v>24</v>
      </c>
      <c r="E282" s="111">
        <v>0</v>
      </c>
      <c r="F282" s="112">
        <f t="shared" si="125"/>
        <v>24</v>
      </c>
      <c r="G282" s="113" t="s">
        <v>41</v>
      </c>
      <c r="H282" s="113"/>
      <c r="I282" s="113"/>
      <c r="J282" s="114"/>
      <c r="K282" s="115">
        <f t="shared" si="126"/>
        <v>0</v>
      </c>
      <c r="L282" s="110"/>
    </row>
    <row r="283" spans="1:12" x14ac:dyDescent="0.25">
      <c r="A283" s="30" t="str">
        <f>IF(F283&lt;&gt;"",1+MAX($A$6:A282),"")</f>
        <v/>
      </c>
      <c r="B283" s="107"/>
      <c r="C283" s="40" t="s">
        <v>97</v>
      </c>
      <c r="D283" s="116"/>
      <c r="E283" s="109"/>
      <c r="J283" s="24"/>
      <c r="K283" s="20"/>
      <c r="L283" s="110"/>
    </row>
    <row r="284" spans="1:12" x14ac:dyDescent="0.25">
      <c r="A284" s="30">
        <f>IF(F284&lt;&gt;"",1+MAX($A$6:A283),"")</f>
        <v>193</v>
      </c>
      <c r="B284" s="107"/>
      <c r="C284" s="45" t="s">
        <v>156</v>
      </c>
      <c r="D284" s="116">
        <v>16130</v>
      </c>
      <c r="E284" s="111">
        <v>0.1</v>
      </c>
      <c r="F284" s="112">
        <f t="shared" ref="F284" si="127">D284*(1+E284)</f>
        <v>17743</v>
      </c>
      <c r="G284" s="113" t="s">
        <v>42</v>
      </c>
      <c r="H284" s="113"/>
      <c r="I284" s="113"/>
      <c r="J284" s="114"/>
      <c r="K284" s="115">
        <f t="shared" ref="K284" si="128">J284*F284</f>
        <v>0</v>
      </c>
      <c r="L284" s="110"/>
    </row>
    <row r="285" spans="1:12" x14ac:dyDescent="0.25">
      <c r="A285" s="30">
        <f>IF(F285&lt;&gt;"",1+MAX($A$6:A284),"")</f>
        <v>194</v>
      </c>
      <c r="B285" s="107"/>
      <c r="C285" s="45" t="s">
        <v>157</v>
      </c>
      <c r="D285" s="116">
        <v>1805</v>
      </c>
      <c r="E285" s="111">
        <v>0.1</v>
      </c>
      <c r="F285" s="112">
        <f t="shared" ref="F285" si="129">D285*(1+E285)</f>
        <v>1985.5000000000002</v>
      </c>
      <c r="G285" s="113" t="s">
        <v>42</v>
      </c>
      <c r="H285" s="113"/>
      <c r="I285" s="113"/>
      <c r="J285" s="114"/>
      <c r="K285" s="115">
        <f t="shared" ref="K285" si="130">J285*F285</f>
        <v>0</v>
      </c>
      <c r="L285" s="110"/>
    </row>
    <row r="286" spans="1:12" x14ac:dyDescent="0.25">
      <c r="A286" s="30">
        <f>IF(F286&lt;&gt;"",1+MAX($A$6:A285),"")</f>
        <v>195</v>
      </c>
      <c r="B286" s="107"/>
      <c r="C286" s="45" t="s">
        <v>164</v>
      </c>
      <c r="D286" s="116">
        <v>235</v>
      </c>
      <c r="E286" s="111">
        <v>0.1</v>
      </c>
      <c r="F286" s="112">
        <f t="shared" ref="F286" si="131">D286*(1+E286)</f>
        <v>258.5</v>
      </c>
      <c r="G286" s="113" t="s">
        <v>42</v>
      </c>
      <c r="H286" s="113"/>
      <c r="I286" s="113"/>
      <c r="J286" s="114"/>
      <c r="K286" s="115">
        <f t="shared" ref="K286" si="132">J286*F286</f>
        <v>0</v>
      </c>
      <c r="L286" s="110"/>
    </row>
    <row r="287" spans="1:12" x14ac:dyDescent="0.25">
      <c r="A287" s="30">
        <f>IF(F287&lt;&gt;"",1+MAX($A$6:A286),"")</f>
        <v>196</v>
      </c>
      <c r="B287" s="107"/>
      <c r="C287" s="45" t="s">
        <v>167</v>
      </c>
      <c r="D287" s="116">
        <v>18940</v>
      </c>
      <c r="E287" s="111">
        <v>0.1</v>
      </c>
      <c r="F287" s="112">
        <f t="shared" ref="F287" si="133">D287*(1+E287)</f>
        <v>20834</v>
      </c>
      <c r="G287" s="113" t="s">
        <v>42</v>
      </c>
      <c r="H287" s="113"/>
      <c r="I287" s="113"/>
      <c r="J287" s="114"/>
      <c r="K287" s="115">
        <f t="shared" ref="K287" si="134">J287*F287</f>
        <v>0</v>
      </c>
      <c r="L287" s="110"/>
    </row>
    <row r="288" spans="1:12" x14ac:dyDescent="0.25">
      <c r="A288" s="30">
        <f>IF(F288&lt;&gt;"",1+MAX($A$6:A287),"")</f>
        <v>197</v>
      </c>
      <c r="B288" s="107"/>
      <c r="C288" s="45" t="s">
        <v>158</v>
      </c>
      <c r="D288" s="116">
        <v>375</v>
      </c>
      <c r="E288" s="111">
        <v>0.1</v>
      </c>
      <c r="F288" s="112">
        <f t="shared" ref="F288" si="135">D288*(1+E288)</f>
        <v>412.50000000000006</v>
      </c>
      <c r="G288" s="113" t="s">
        <v>40</v>
      </c>
      <c r="H288" s="113"/>
      <c r="I288" s="113"/>
      <c r="J288" s="114"/>
      <c r="K288" s="115">
        <f t="shared" ref="K288" si="136">J288*F288</f>
        <v>0</v>
      </c>
      <c r="L288" s="110"/>
    </row>
    <row r="289" spans="1:12" s="37" customFormat="1" ht="15.75" thickBot="1" x14ac:dyDescent="0.3">
      <c r="A289" s="30" t="str">
        <f>IF(F289&lt;&gt;"",1+MAX($A$6:A288),"")</f>
        <v/>
      </c>
      <c r="B289" s="31"/>
      <c r="D289" s="39"/>
      <c r="E289" s="28"/>
      <c r="F289" s="32"/>
      <c r="G289" s="29"/>
      <c r="H289" s="29"/>
      <c r="I289" s="29"/>
      <c r="J289" s="33"/>
      <c r="K289" s="34"/>
      <c r="L289" s="35"/>
    </row>
    <row r="290" spans="1:12" ht="15.75" thickBot="1" x14ac:dyDescent="0.25">
      <c r="A290" s="19"/>
      <c r="B290" s="7" t="s">
        <v>34</v>
      </c>
      <c r="C290" s="43" t="s">
        <v>35</v>
      </c>
      <c r="D290" s="93"/>
      <c r="E290" s="8"/>
      <c r="F290" s="8"/>
      <c r="G290" s="7"/>
      <c r="H290" s="7"/>
      <c r="I290" s="7"/>
      <c r="J290" s="25"/>
      <c r="K290" s="21"/>
      <c r="L290" s="9">
        <f>SUM(K291:K297)</f>
        <v>0</v>
      </c>
    </row>
    <row r="291" spans="1:12" s="37" customFormat="1" x14ac:dyDescent="0.25">
      <c r="A291" s="30" t="str">
        <f>IF(F291&lt;&gt;"",1+MAX($A$6:A290),"")</f>
        <v/>
      </c>
      <c r="B291" s="31"/>
      <c r="C291" s="38"/>
      <c r="D291" s="39"/>
      <c r="E291" s="28"/>
      <c r="F291" s="32"/>
      <c r="G291" s="29"/>
      <c r="H291" s="29"/>
      <c r="I291" s="29"/>
      <c r="J291" s="36"/>
      <c r="K291" s="34"/>
      <c r="L291" s="35"/>
    </row>
    <row r="292" spans="1:12" s="37" customFormat="1" x14ac:dyDescent="0.25">
      <c r="A292" s="30" t="str">
        <f>IF(F292&lt;&gt;"",1+MAX($A$6:A291),"")</f>
        <v/>
      </c>
      <c r="B292" s="31"/>
      <c r="C292" s="44" t="s">
        <v>45</v>
      </c>
      <c r="D292" s="39"/>
      <c r="E292" s="28"/>
      <c r="F292" s="32"/>
      <c r="G292" s="29"/>
      <c r="H292" s="29"/>
      <c r="I292" s="29"/>
      <c r="J292" s="36"/>
      <c r="K292" s="34"/>
      <c r="L292" s="35"/>
    </row>
    <row r="293" spans="1:12" s="37" customFormat="1" x14ac:dyDescent="0.25">
      <c r="A293" s="30">
        <f>IF(F293&lt;&gt;"",1+MAX($A$6:A292),"")</f>
        <v>198</v>
      </c>
      <c r="B293" s="31"/>
      <c r="C293" s="38" t="s">
        <v>88</v>
      </c>
      <c r="D293" s="117">
        <f>53100/43560</f>
        <v>1.21900826446281</v>
      </c>
      <c r="E293" s="28">
        <v>0.1</v>
      </c>
      <c r="F293" s="119">
        <f t="shared" ref="F293" si="137">D293*(1+E293)</f>
        <v>1.3409090909090911</v>
      </c>
      <c r="G293" s="29" t="s">
        <v>87</v>
      </c>
      <c r="H293" s="29"/>
      <c r="I293" s="29"/>
      <c r="J293" s="33"/>
      <c r="K293" s="34">
        <f t="shared" ref="K293" si="138">J293*F293</f>
        <v>0</v>
      </c>
      <c r="L293" s="35"/>
    </row>
    <row r="294" spans="1:12" s="37" customFormat="1" x14ac:dyDescent="0.25">
      <c r="A294" s="30">
        <f>IF(F294&lt;&gt;"",1+MAX($A$6:A293),"")</f>
        <v>199</v>
      </c>
      <c r="B294" s="31"/>
      <c r="C294" s="38" t="s">
        <v>109</v>
      </c>
      <c r="D294" s="39">
        <f>28890</f>
        <v>28890</v>
      </c>
      <c r="E294" s="28">
        <v>0.1</v>
      </c>
      <c r="F294" s="32">
        <f t="shared" ref="F294" si="139">D294*(1+E294)</f>
        <v>31779.000000000004</v>
      </c>
      <c r="G294" s="29" t="s">
        <v>42</v>
      </c>
      <c r="H294" s="29"/>
      <c r="I294" s="29"/>
      <c r="J294" s="33"/>
      <c r="K294" s="34">
        <f t="shared" ref="K294" si="140">J294*F294</f>
        <v>0</v>
      </c>
      <c r="L294" s="35"/>
    </row>
    <row r="295" spans="1:12" s="37" customFormat="1" x14ac:dyDescent="0.25">
      <c r="A295" s="30">
        <f>IF(F295&lt;&gt;"",1+MAX($A$6:A294),"")</f>
        <v>200</v>
      </c>
      <c r="B295" s="31"/>
      <c r="C295" s="38" t="s">
        <v>204</v>
      </c>
      <c r="D295" s="39">
        <f>53100/27</f>
        <v>1966.6666666666667</v>
      </c>
      <c r="E295" s="28">
        <v>0.1</v>
      </c>
      <c r="F295" s="32">
        <f t="shared" ref="F295" si="141">D295*(1+E295)</f>
        <v>2163.3333333333335</v>
      </c>
      <c r="G295" s="29" t="s">
        <v>47</v>
      </c>
      <c r="H295" s="29"/>
      <c r="I295" s="29"/>
      <c r="J295" s="33"/>
      <c r="K295" s="34">
        <f t="shared" ref="K295" si="142">J295*F295</f>
        <v>0</v>
      </c>
      <c r="L295" s="35"/>
    </row>
    <row r="296" spans="1:12" s="37" customFormat="1" x14ac:dyDescent="0.25">
      <c r="A296" s="30">
        <f>IF(F296&lt;&gt;"",1+MAX($A$6:A295),"")</f>
        <v>201</v>
      </c>
      <c r="B296" s="31"/>
      <c r="C296" s="38" t="s">
        <v>46</v>
      </c>
      <c r="D296" s="39">
        <f>((10025*1.5)+(34905*2)+(2075*3)+(2545*4)+(375*5))/27</f>
        <v>3819.537037037037</v>
      </c>
      <c r="E296" s="28">
        <v>0.1</v>
      </c>
      <c r="F296" s="32">
        <f t="shared" ref="F296" si="143">D296*(1+E296)</f>
        <v>4201.4907407407409</v>
      </c>
      <c r="G296" s="29" t="s">
        <v>47</v>
      </c>
      <c r="H296" s="29"/>
      <c r="I296" s="29"/>
      <c r="J296" s="33"/>
      <c r="K296" s="34">
        <f t="shared" ref="K296" si="144">J296*F296</f>
        <v>0</v>
      </c>
      <c r="L296" s="35"/>
    </row>
    <row r="297" spans="1:12" s="37" customFormat="1" x14ac:dyDescent="0.25">
      <c r="A297" s="30" t="str">
        <f>IF(F297&lt;&gt;"",1+MAX($A$6:A296),"")</f>
        <v/>
      </c>
      <c r="B297" s="31"/>
      <c r="C297" s="38"/>
      <c r="D297" s="39"/>
      <c r="E297" s="28"/>
      <c r="F297" s="32"/>
      <c r="G297" s="29"/>
      <c r="H297" s="29"/>
      <c r="I297" s="29"/>
      <c r="J297" s="33"/>
      <c r="K297" s="34"/>
      <c r="L297" s="35"/>
    </row>
    <row r="298" spans="1:12" ht="15.75" thickBot="1" x14ac:dyDescent="0.25">
      <c r="A298" s="18"/>
      <c r="B298" s="12"/>
      <c r="C298" s="46"/>
      <c r="D298" s="94"/>
      <c r="E298" s="13"/>
      <c r="F298" s="14"/>
      <c r="G298" s="15"/>
      <c r="H298" s="15"/>
      <c r="I298" s="15"/>
      <c r="J298" s="26"/>
      <c r="K298" s="22"/>
      <c r="L298" s="16"/>
    </row>
    <row r="299" spans="1:12" ht="15.75" thickBot="1" x14ac:dyDescent="0.25">
      <c r="A299" s="48" t="s">
        <v>1</v>
      </c>
      <c r="B299" s="49"/>
      <c r="C299" s="50"/>
      <c r="D299" s="95"/>
      <c r="E299" s="51"/>
      <c r="F299" s="51"/>
      <c r="G299" s="52"/>
      <c r="H299" s="52"/>
      <c r="I299" s="52"/>
      <c r="J299" s="53"/>
      <c r="K299" s="54">
        <f>SUM(K5:K298)</f>
        <v>0</v>
      </c>
      <c r="L299" s="55">
        <f>SUM(L5:L298)</f>
        <v>0</v>
      </c>
    </row>
    <row r="300" spans="1:12" ht="15.75" thickBot="1" x14ac:dyDescent="0.25">
      <c r="A300" s="48" t="s">
        <v>10</v>
      </c>
      <c r="B300" s="49"/>
      <c r="C300" s="50"/>
      <c r="D300" s="95"/>
      <c r="E300" s="51"/>
      <c r="F300" s="51"/>
      <c r="G300" s="52"/>
      <c r="H300" s="52"/>
      <c r="I300" s="52"/>
      <c r="J300" s="56">
        <v>0.25</v>
      </c>
      <c r="K300" s="54">
        <f>J300*K299</f>
        <v>0</v>
      </c>
      <c r="L300" s="55">
        <f>J300*L299</f>
        <v>0</v>
      </c>
    </row>
    <row r="301" spans="1:12" ht="15.75" thickBot="1" x14ac:dyDescent="0.25">
      <c r="A301" s="57" t="s">
        <v>9</v>
      </c>
      <c r="B301" s="58"/>
      <c r="C301" s="59"/>
      <c r="D301" s="96"/>
      <c r="E301" s="60"/>
      <c r="F301" s="60"/>
      <c r="G301" s="61"/>
      <c r="H301" s="61"/>
      <c r="I301" s="61"/>
      <c r="J301" s="62"/>
      <c r="K301" s="63">
        <f>SUM(K299:K300)</f>
        <v>0</v>
      </c>
      <c r="L301" s="64">
        <f>SUM(L299:L300)</f>
        <v>0</v>
      </c>
    </row>
    <row r="302" spans="1:12" ht="15.75" thickBot="1" x14ac:dyDescent="0.25">
      <c r="A302" s="65"/>
      <c r="B302" s="66"/>
      <c r="C302" s="67"/>
      <c r="D302" s="97"/>
      <c r="E302" s="68"/>
      <c r="F302" s="68"/>
      <c r="G302" s="69"/>
      <c r="H302" s="69"/>
      <c r="I302" s="69"/>
      <c r="J302" s="70"/>
      <c r="K302" s="71"/>
      <c r="L302" s="72"/>
    </row>
    <row r="303" spans="1:12" ht="15.75" thickBot="1" x14ac:dyDescent="0.25">
      <c r="A303" s="73"/>
      <c r="B303" s="49"/>
      <c r="C303" s="74" t="s">
        <v>39</v>
      </c>
      <c r="D303" s="98"/>
      <c r="E303" s="75"/>
      <c r="F303" s="75"/>
      <c r="G303" s="52"/>
      <c r="H303" s="52"/>
      <c r="I303" s="52"/>
      <c r="J303" s="49"/>
      <c r="K303" s="76"/>
      <c r="L303" s="77"/>
    </row>
    <row r="304" spans="1:12" ht="15.75" thickBot="1" x14ac:dyDescent="0.25">
      <c r="A304" s="78" t="s">
        <v>36</v>
      </c>
      <c r="B304" s="79"/>
      <c r="C304" s="80"/>
      <c r="D304" s="99"/>
      <c r="E304" s="79"/>
      <c r="F304" s="79"/>
      <c r="G304" s="81"/>
      <c r="H304" s="81"/>
      <c r="I304" s="81"/>
      <c r="J304" s="79"/>
      <c r="K304" s="79"/>
      <c r="L304" s="82"/>
    </row>
    <row r="305" spans="1:12" x14ac:dyDescent="0.25">
      <c r="A305" s="83" t="s">
        <v>37</v>
      </c>
      <c r="B305" s="84"/>
      <c r="C305" s="85"/>
      <c r="D305" s="100"/>
      <c r="E305" s="84"/>
      <c r="F305" s="84"/>
      <c r="G305" s="86"/>
      <c r="H305" s="86"/>
      <c r="I305" s="86"/>
      <c r="J305" s="84"/>
      <c r="K305" s="84"/>
      <c r="L305" s="87"/>
    </row>
    <row r="306" spans="1:12" x14ac:dyDescent="0.25">
      <c r="A306" s="88" t="s">
        <v>38</v>
      </c>
      <c r="B306" s="88"/>
      <c r="C306" s="89"/>
      <c r="D306" s="101"/>
      <c r="E306" s="88"/>
      <c r="F306" s="88"/>
      <c r="G306" s="90"/>
      <c r="H306" s="90"/>
      <c r="I306" s="90"/>
      <c r="J306" s="88"/>
      <c r="K306" s="88"/>
      <c r="L306" s="88"/>
    </row>
    <row r="307" spans="1:12" x14ac:dyDescent="0.25">
      <c r="A307" s="88" t="s">
        <v>50</v>
      </c>
      <c r="B307" s="88"/>
      <c r="C307" s="89"/>
      <c r="D307" s="101"/>
      <c r="E307" s="88"/>
      <c r="F307" s="88"/>
      <c r="G307" s="90"/>
      <c r="H307" s="90"/>
      <c r="I307" s="90"/>
      <c r="J307" s="88"/>
      <c r="K307" s="88"/>
      <c r="L307" s="88"/>
    </row>
    <row r="308" spans="1:12" x14ac:dyDescent="0.2">
      <c r="B308" s="108" t="s">
        <v>89</v>
      </c>
    </row>
    <row r="309" spans="1:12" x14ac:dyDescent="0.2">
      <c r="B309" s="107" t="s">
        <v>90</v>
      </c>
    </row>
    <row r="310" spans="1:12" x14ac:dyDescent="0.2">
      <c r="B310" s="107" t="s">
        <v>91</v>
      </c>
    </row>
    <row r="311" spans="1:12" x14ac:dyDescent="0.2">
      <c r="B311" s="2" t="s">
        <v>92</v>
      </c>
    </row>
    <row r="312" spans="1:12" x14ac:dyDescent="0.2">
      <c r="B312" s="2" t="s">
        <v>93</v>
      </c>
    </row>
  </sheetData>
  <mergeCells count="5">
    <mergeCell ref="F3:L3"/>
    <mergeCell ref="F1:L1"/>
    <mergeCell ref="F2:L2"/>
    <mergeCell ref="A1:C1"/>
    <mergeCell ref="A2:C2"/>
  </mergeCells>
  <printOptions horizontalCentered="1" verticalCentered="1"/>
  <pageMargins left="0.7" right="0.7" top="0.75" bottom="0.75" header="0.3" footer="0.3"/>
  <pageSetup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Sheet1</vt:lpstr>
      <vt:lpstr>DETAILED ESTIMATE</vt:lpstr>
      <vt:lpstr>Chart1</vt:lpstr>
      <vt:lpstr>'DETAILED ESTIMATE'!Print_Area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Marks</dc:creator>
  <cp:lastModifiedBy>Abdul Wajid</cp:lastModifiedBy>
  <cp:lastPrinted>2018-10-19T19:32:17Z</cp:lastPrinted>
  <dcterms:created xsi:type="dcterms:W3CDTF">2004-05-05T14:08:18Z</dcterms:created>
  <dcterms:modified xsi:type="dcterms:W3CDTF">2022-06-29T12:26:50Z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