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D:\Estimation Services\Sufran Sajid (LinkedIn)\5- May\4- 1700 Hillandale Road, NC (Site Works) WQ\WORK\"/>
    </mc:Choice>
  </mc:AlternateContent>
  <xr:revisionPtr revIDLastSave="0" documentId="13_ncr:1_{9A5AF9D8-E671-45E4-9B5E-B1605AE381CA}" xr6:coauthVersionLast="47" xr6:coauthVersionMax="47" xr10:uidLastSave="{00000000-0000-0000-0000-000000000000}"/>
  <bookViews>
    <workbookView xWindow="-120" yWindow="-120" windowWidth="24240" windowHeight="13140" tabRatio="647" firstSheet="2" activeTab="2" xr2:uid="{00000000-000D-0000-FFFF-FFFF00000000}"/>
  </bookViews>
  <sheets>
    <sheet name="Chart1" sheetId="14" state="hidden" r:id="rId1"/>
    <sheet name="Sheet1" sheetId="15" state="hidden" r:id="rId2"/>
    <sheet name="DETAILED ESTIMATE" sheetId="16" r:id="rId3"/>
  </sheets>
  <definedNames>
    <definedName name="_xlnm._FilterDatabase" localSheetId="2" hidden="1">'DETAILED ESTIMATE'!$C$1:$L$342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14" i="16" l="1"/>
  <c r="A315" i="16" s="1"/>
  <c r="A318" i="16"/>
  <c r="A319" i="16"/>
  <c r="A325" i="16"/>
  <c r="A326" i="16"/>
  <c r="A32" i="16"/>
  <c r="A34" i="16" s="1"/>
  <c r="A33" i="16"/>
  <c r="A43" i="16"/>
  <c r="A44" i="16"/>
  <c r="A53" i="16"/>
  <c r="A54" i="16"/>
  <c r="A56" i="16"/>
  <c r="A57" i="16"/>
  <c r="A58" i="16"/>
  <c r="A62" i="16"/>
  <c r="A63" i="16"/>
  <c r="A69" i="16"/>
  <c r="A70" i="16"/>
  <c r="A80" i="16"/>
  <c r="A81" i="16"/>
  <c r="A83" i="16"/>
  <c r="A84" i="16"/>
  <c r="A86" i="16"/>
  <c r="A87" i="16"/>
  <c r="A105" i="16"/>
  <c r="A106" i="16"/>
  <c r="A112" i="16"/>
  <c r="A113" i="16"/>
  <c r="A115" i="16"/>
  <c r="A116" i="16"/>
  <c r="A122" i="16"/>
  <c r="A123" i="16"/>
  <c r="A124" i="16"/>
  <c r="A127" i="16"/>
  <c r="A128" i="16"/>
  <c r="A129" i="16"/>
  <c r="A135" i="16"/>
  <c r="A136" i="16"/>
  <c r="A137" i="16"/>
  <c r="A144" i="16"/>
  <c r="A145" i="16"/>
  <c r="A146" i="16"/>
  <c r="A148" i="16"/>
  <c r="A149" i="16"/>
  <c r="A153" i="16"/>
  <c r="A154" i="16"/>
  <c r="A155" i="16"/>
  <c r="A159" i="16"/>
  <c r="A160" i="16"/>
  <c r="A162" i="16"/>
  <c r="A163" i="16"/>
  <c r="A167" i="16"/>
  <c r="A168" i="16"/>
  <c r="A175" i="16"/>
  <c r="A178" i="16"/>
  <c r="A179" i="16"/>
  <c r="A182" i="16"/>
  <c r="A186" i="16"/>
  <c r="A187" i="16"/>
  <c r="A210" i="16"/>
  <c r="A211" i="16"/>
  <c r="A220" i="16"/>
  <c r="A224" i="16"/>
  <c r="A232" i="16"/>
  <c r="A233" i="16"/>
  <c r="A235" i="16"/>
  <c r="A242" i="16"/>
  <c r="A243" i="16"/>
  <c r="A244" i="16"/>
  <c r="A246" i="16"/>
  <c r="A247" i="16"/>
  <c r="A248" i="16"/>
  <c r="A255" i="16"/>
  <c r="A257" i="16"/>
  <c r="A260" i="16"/>
  <c r="A262" i="16"/>
  <c r="A277" i="16"/>
  <c r="A278" i="16"/>
  <c r="A292" i="16"/>
  <c r="A293" i="16"/>
  <c r="A307" i="16"/>
  <c r="A10" i="16"/>
  <c r="A12" i="16" s="1"/>
  <c r="A11" i="16"/>
  <c r="A19" i="16"/>
  <c r="A25" i="16"/>
  <c r="A30" i="16"/>
  <c r="D152" i="16"/>
  <c r="F152" i="16" s="1"/>
  <c r="K152" i="16" s="1"/>
  <c r="D150" i="16"/>
  <c r="F150" i="16" s="1"/>
  <c r="D151" i="16"/>
  <c r="F151" i="16" s="1"/>
  <c r="K151" i="16" s="1"/>
  <c r="F166" i="16"/>
  <c r="A312" i="16"/>
  <c r="A311" i="16"/>
  <c r="A29" i="16"/>
  <c r="A27" i="16"/>
  <c r="F100" i="16"/>
  <c r="K100" i="16" s="1"/>
  <c r="F49" i="16"/>
  <c r="K49" i="16" s="1"/>
  <c r="D121" i="16"/>
  <c r="F75" i="16"/>
  <c r="K75" i="16" s="1"/>
  <c r="D157" i="16"/>
  <c r="D109" i="16"/>
  <c r="F165" i="16"/>
  <c r="D117" i="16"/>
  <c r="D120" i="16" s="1"/>
  <c r="D156" i="16"/>
  <c r="D314" i="16"/>
  <c r="F85" i="16"/>
  <c r="F164" i="16"/>
  <c r="D78" i="16"/>
  <c r="D77" i="16"/>
  <c r="D76" i="16"/>
  <c r="D107" i="16"/>
  <c r="D110" i="16" s="1"/>
  <c r="F104" i="16"/>
  <c r="K104" i="16" s="1"/>
  <c r="F103" i="16"/>
  <c r="F102" i="16"/>
  <c r="F101" i="16"/>
  <c r="K101" i="16" s="1"/>
  <c r="F99" i="16"/>
  <c r="F98" i="16"/>
  <c r="K98" i="16" s="1"/>
  <c r="F97" i="16"/>
  <c r="K97" i="16" s="1"/>
  <c r="F96" i="16"/>
  <c r="D147" i="16"/>
  <c r="D67" i="16"/>
  <c r="D66" i="16"/>
  <c r="D65" i="16"/>
  <c r="D133" i="16"/>
  <c r="D132" i="16"/>
  <c r="D131" i="16"/>
  <c r="D139" i="16"/>
  <c r="D140" i="16"/>
  <c r="F95" i="16"/>
  <c r="K95" i="16" s="1"/>
  <c r="F94" i="16"/>
  <c r="K94" i="16" s="1"/>
  <c r="F305" i="16"/>
  <c r="K305" i="16" s="1"/>
  <c r="F304" i="16"/>
  <c r="F303" i="16"/>
  <c r="K303" i="16" s="1"/>
  <c r="F302" i="16"/>
  <c r="K302" i="16" s="1"/>
  <c r="F301" i="16"/>
  <c r="K301" i="16" s="1"/>
  <c r="F300" i="16"/>
  <c r="K300" i="16" s="1"/>
  <c r="F290" i="16"/>
  <c r="K290" i="16" s="1"/>
  <c r="F289" i="16"/>
  <c r="K289" i="16" s="1"/>
  <c r="F288" i="16"/>
  <c r="K288" i="16" s="1"/>
  <c r="F306" i="16"/>
  <c r="K306" i="16" s="1"/>
  <c r="F291" i="16"/>
  <c r="K291" i="16" s="1"/>
  <c r="F299" i="16"/>
  <c r="K299" i="16" s="1"/>
  <c r="F298" i="16"/>
  <c r="F297" i="16"/>
  <c r="K297" i="16" s="1"/>
  <c r="F296" i="16"/>
  <c r="K296" i="16" s="1"/>
  <c r="F295" i="16"/>
  <c r="K295" i="16" s="1"/>
  <c r="F294" i="16"/>
  <c r="K294" i="16" s="1"/>
  <c r="F287" i="16"/>
  <c r="K287" i="16" s="1"/>
  <c r="F286" i="16"/>
  <c r="K286" i="16" s="1"/>
  <c r="F285" i="16"/>
  <c r="F284" i="16"/>
  <c r="K284" i="16" s="1"/>
  <c r="F283" i="16"/>
  <c r="K283" i="16" s="1"/>
  <c r="F282" i="16"/>
  <c r="K282" i="16" s="1"/>
  <c r="F281" i="16"/>
  <c r="K281" i="16" s="1"/>
  <c r="F280" i="16"/>
  <c r="K280" i="16" s="1"/>
  <c r="F279" i="16"/>
  <c r="F276" i="16"/>
  <c r="F275" i="16"/>
  <c r="K275" i="16" s="1"/>
  <c r="F274" i="16"/>
  <c r="K274" i="16" s="1"/>
  <c r="F273" i="16"/>
  <c r="F272" i="16"/>
  <c r="K272" i="16" s="1"/>
  <c r="F271" i="16"/>
  <c r="K271" i="16" s="1"/>
  <c r="F270" i="16"/>
  <c r="K270" i="16" s="1"/>
  <c r="F269" i="16"/>
  <c r="F259" i="16"/>
  <c r="F261" i="16"/>
  <c r="F258" i="16"/>
  <c r="K258" i="16" s="1"/>
  <c r="F256" i="16"/>
  <c r="K256" i="16" s="1"/>
  <c r="D241" i="16"/>
  <c r="D240" i="16"/>
  <c r="D239" i="16"/>
  <c r="D238" i="16"/>
  <c r="D237" i="16"/>
  <c r="D236" i="16"/>
  <c r="D183" i="16"/>
  <c r="D176" i="16"/>
  <c r="D177" i="16" s="1"/>
  <c r="F174" i="16"/>
  <c r="K174" i="16" s="1"/>
  <c r="F173" i="16"/>
  <c r="K173" i="16" s="1"/>
  <c r="F172" i="16"/>
  <c r="K172" i="16" s="1"/>
  <c r="F171" i="16"/>
  <c r="K171" i="16" s="1"/>
  <c r="D184" i="16"/>
  <c r="F206" i="16"/>
  <c r="K206" i="16" s="1"/>
  <c r="F205" i="16"/>
  <c r="K205" i="16" s="1"/>
  <c r="F204" i="16"/>
  <c r="F203" i="16"/>
  <c r="K203" i="16" s="1"/>
  <c r="F202" i="16"/>
  <c r="K202" i="16" s="1"/>
  <c r="F201" i="16"/>
  <c r="K201" i="16" s="1"/>
  <c r="F200" i="16"/>
  <c r="K200" i="16" s="1"/>
  <c r="F199" i="16"/>
  <c r="K199" i="16" s="1"/>
  <c r="F198" i="16"/>
  <c r="K198" i="16" s="1"/>
  <c r="F197" i="16"/>
  <c r="K197" i="16" s="1"/>
  <c r="F209" i="16"/>
  <c r="K209" i="16" s="1"/>
  <c r="F208" i="16"/>
  <c r="K208" i="16" s="1"/>
  <c r="F207" i="16"/>
  <c r="K207" i="16" s="1"/>
  <c r="F196" i="16"/>
  <c r="K196" i="16" s="1"/>
  <c r="F195" i="16"/>
  <c r="K195" i="16" s="1"/>
  <c r="F194" i="16"/>
  <c r="K194" i="16" s="1"/>
  <c r="F193" i="16"/>
  <c r="K193" i="16" s="1"/>
  <c r="F192" i="16"/>
  <c r="F191" i="16"/>
  <c r="K191" i="16" s="1"/>
  <c r="F190" i="16"/>
  <c r="K190" i="16" s="1"/>
  <c r="F52" i="16"/>
  <c r="F51" i="16"/>
  <c r="F50" i="16"/>
  <c r="F48" i="16"/>
  <c r="F55" i="16"/>
  <c r="K55" i="16" s="1"/>
  <c r="D324" i="16"/>
  <c r="F324" i="16" s="1"/>
  <c r="K324" i="16" s="1"/>
  <c r="D323" i="16"/>
  <c r="F323" i="16" s="1"/>
  <c r="K323" i="16" s="1"/>
  <c r="D322" i="16"/>
  <c r="F322" i="16" s="1"/>
  <c r="D321" i="16"/>
  <c r="F321" i="16" s="1"/>
  <c r="K321" i="16" s="1"/>
  <c r="D331" i="16"/>
  <c r="F331" i="16" s="1"/>
  <c r="K331" i="16" s="1"/>
  <c r="D330" i="16"/>
  <c r="F330" i="16" s="1"/>
  <c r="K330" i="16" s="1"/>
  <c r="D329" i="16"/>
  <c r="F329" i="16" s="1"/>
  <c r="K329" i="16" s="1"/>
  <c r="D328" i="16"/>
  <c r="F328" i="16" s="1"/>
  <c r="K328" i="16" s="1"/>
  <c r="F231" i="16"/>
  <c r="K231" i="16" s="1"/>
  <c r="D317" i="16"/>
  <c r="D316" i="16"/>
  <c r="D230" i="16"/>
  <c r="F230" i="16" s="1"/>
  <c r="D219" i="16"/>
  <c r="F219" i="16" s="1"/>
  <c r="D218" i="16"/>
  <c r="F218" i="16" s="1"/>
  <c r="D215" i="16"/>
  <c r="F215" i="16" s="1"/>
  <c r="K215" i="16" s="1"/>
  <c r="D214" i="16"/>
  <c r="F214" i="16" s="1"/>
  <c r="K214" i="16" s="1"/>
  <c r="D212" i="16"/>
  <c r="F229" i="16"/>
  <c r="K229" i="16" s="1"/>
  <c r="F228" i="16"/>
  <c r="K228" i="16" s="1"/>
  <c r="D223" i="16"/>
  <c r="D221" i="16"/>
  <c r="D213" i="16"/>
  <c r="F213" i="16" s="1"/>
  <c r="F216" i="16"/>
  <c r="D217" i="16"/>
  <c r="F217" i="16" s="1"/>
  <c r="K217" i="16" s="1"/>
  <c r="D315" i="16"/>
  <c r="D313" i="16"/>
  <c r="A309" i="16"/>
  <c r="F64" i="16"/>
  <c r="A316" i="16" l="1"/>
  <c r="A35" i="16"/>
  <c r="A36" i="16" s="1"/>
  <c r="A14" i="16"/>
  <c r="A15" i="16"/>
  <c r="A13" i="16"/>
  <c r="K166" i="16"/>
  <c r="K150" i="16"/>
  <c r="K165" i="16"/>
  <c r="K85" i="16"/>
  <c r="K164" i="16"/>
  <c r="K103" i="16"/>
  <c r="K102" i="16"/>
  <c r="K99" i="16"/>
  <c r="K96" i="16"/>
  <c r="D134" i="16"/>
  <c r="K304" i="16"/>
  <c r="K279" i="16"/>
  <c r="K298" i="16"/>
  <c r="K285" i="16"/>
  <c r="K276" i="16"/>
  <c r="K273" i="16"/>
  <c r="K269" i="16"/>
  <c r="K259" i="16"/>
  <c r="K261" i="16"/>
  <c r="D185" i="16"/>
  <c r="K204" i="16"/>
  <c r="K192" i="16"/>
  <c r="K52" i="16"/>
  <c r="K51" i="16"/>
  <c r="K50" i="16"/>
  <c r="K48" i="16"/>
  <c r="K230" i="16"/>
  <c r="K219" i="16"/>
  <c r="K218" i="16"/>
  <c r="D222" i="16"/>
  <c r="K322" i="16"/>
  <c r="K216" i="16"/>
  <c r="K213" i="16"/>
  <c r="D68" i="16"/>
  <c r="D79" i="16"/>
  <c r="K64" i="16"/>
  <c r="F61" i="16"/>
  <c r="K61" i="16" s="1"/>
  <c r="F126" i="16"/>
  <c r="F125" i="16"/>
  <c r="K125" i="16" s="1"/>
  <c r="D141" i="16"/>
  <c r="D111" i="16"/>
  <c r="F176" i="16"/>
  <c r="F170" i="16"/>
  <c r="F184" i="16"/>
  <c r="F183" i="16"/>
  <c r="F181" i="16"/>
  <c r="K181" i="16" s="1"/>
  <c r="F189" i="16"/>
  <c r="K189" i="16" s="1"/>
  <c r="F188" i="16"/>
  <c r="F180" i="16"/>
  <c r="K180" i="16" s="1"/>
  <c r="F169" i="16"/>
  <c r="A317" i="16" l="1"/>
  <c r="A320" i="16" s="1"/>
  <c r="A37" i="16"/>
  <c r="A17" i="16"/>
  <c r="A18" i="16" s="1"/>
  <c r="A16" i="16"/>
  <c r="K170" i="16"/>
  <c r="K126" i="16"/>
  <c r="F177" i="16"/>
  <c r="K183" i="16"/>
  <c r="K176" i="16"/>
  <c r="K184" i="16"/>
  <c r="K169" i="16"/>
  <c r="K188" i="16"/>
  <c r="F185" i="16"/>
  <c r="A321" i="16" l="1"/>
  <c r="A323" i="16" s="1"/>
  <c r="A322" i="16"/>
  <c r="A39" i="16"/>
  <c r="A38" i="16"/>
  <c r="A20" i="16"/>
  <c r="K177" i="16"/>
  <c r="K185" i="16"/>
  <c r="A324" i="16" l="1"/>
  <c r="A328" i="16" s="1"/>
  <c r="A329" i="16" s="1"/>
  <c r="A327" i="16"/>
  <c r="A40" i="16"/>
  <c r="A41" i="16"/>
  <c r="A21" i="16"/>
  <c r="A22" i="16" s="1"/>
  <c r="A23" i="16" s="1"/>
  <c r="A24" i="16" s="1"/>
  <c r="F327" i="16"/>
  <c r="F320" i="16"/>
  <c r="A330" i="16" l="1"/>
  <c r="A331" i="16" s="1"/>
  <c r="A42" i="16"/>
  <c r="K327" i="16"/>
  <c r="K320" i="16"/>
  <c r="F89" i="16"/>
  <c r="K89" i="16" s="1"/>
  <c r="F92" i="16"/>
  <c r="K92" i="16" s="1"/>
  <c r="F241" i="16"/>
  <c r="F240" i="16"/>
  <c r="F239" i="16"/>
  <c r="F238" i="16"/>
  <c r="F237" i="16"/>
  <c r="F236" i="16"/>
  <c r="F245" i="16"/>
  <c r="K245" i="16" s="1"/>
  <c r="F234" i="16"/>
  <c r="A45" i="16" l="1"/>
  <c r="K234" i="16"/>
  <c r="K237" i="16"/>
  <c r="K240" i="16"/>
  <c r="K241" i="16"/>
  <c r="K236" i="16"/>
  <c r="K238" i="16"/>
  <c r="K239" i="16"/>
  <c r="A46" i="16" l="1"/>
  <c r="A47" i="16" s="1"/>
  <c r="A48" i="16" s="1"/>
  <c r="A49" i="16" s="1"/>
  <c r="A50" i="16" s="1"/>
  <c r="A51" i="16" s="1"/>
  <c r="A52" i="16" s="1"/>
  <c r="A55" i="16" s="1"/>
  <c r="A59" i="16" s="1"/>
  <c r="A60" i="16" s="1"/>
  <c r="A61" i="16" s="1"/>
  <c r="A64" i="16" s="1"/>
  <c r="A65" i="16" s="1"/>
  <c r="A66" i="16" s="1"/>
  <c r="A67" i="16" s="1"/>
  <c r="A68" i="16" s="1"/>
  <c r="A71" i="16" s="1"/>
  <c r="A72" i="16" s="1"/>
  <c r="A73" i="16" s="1"/>
  <c r="A74" i="16" s="1"/>
  <c r="A75" i="16" s="1"/>
  <c r="A76" i="16" s="1"/>
  <c r="A77" i="16" s="1"/>
  <c r="A78" i="16" s="1"/>
  <c r="A79" i="16" s="1"/>
  <c r="A82" i="16" s="1"/>
  <c r="A85" i="16" s="1"/>
  <c r="A88" i="16" s="1"/>
  <c r="A89" i="16" s="1"/>
  <c r="A90" i="16" s="1"/>
  <c r="A91" i="16" s="1"/>
  <c r="A92" i="16" s="1"/>
  <c r="A93" i="16" s="1"/>
  <c r="A94" i="16" s="1"/>
  <c r="A95" i="16" s="1"/>
  <c r="A96" i="16" s="1"/>
  <c r="A97" i="16" s="1"/>
  <c r="A98" i="16" s="1"/>
  <c r="A99" i="16" s="1"/>
  <c r="A100" i="16" s="1"/>
  <c r="A101" i="16" s="1"/>
  <c r="A102" i="16" s="1"/>
  <c r="A103" i="16" s="1"/>
  <c r="A104" i="16" s="1"/>
  <c r="A107" i="16" s="1"/>
  <c r="A108" i="16" s="1"/>
  <c r="A109" i="16" s="1"/>
  <c r="A110" i="16" s="1"/>
  <c r="A111" i="16" s="1"/>
  <c r="A114" i="16" s="1"/>
  <c r="A117" i="16" s="1"/>
  <c r="A118" i="16" s="1"/>
  <c r="A119" i="16" s="1"/>
  <c r="A120" i="16" s="1"/>
  <c r="A121" i="16" s="1"/>
  <c r="A125" i="16" s="1"/>
  <c r="A126" i="16" s="1"/>
  <c r="A130" i="16" s="1"/>
  <c r="A131" i="16" s="1"/>
  <c r="A132" i="16" s="1"/>
  <c r="A133" i="16" s="1"/>
  <c r="A134" i="16" s="1"/>
  <c r="A138" i="16" s="1"/>
  <c r="A139" i="16" s="1"/>
  <c r="A140" i="16" s="1"/>
  <c r="A141" i="16" s="1"/>
  <c r="A142" i="16" s="1"/>
  <c r="A143" i="16" s="1"/>
  <c r="A147" i="16" s="1"/>
  <c r="A150" i="16" s="1"/>
  <c r="A151" i="16" s="1"/>
  <c r="A152" i="16" s="1"/>
  <c r="A156" i="16" s="1"/>
  <c r="A157" i="16" s="1"/>
  <c r="A158" i="16" s="1"/>
  <c r="A161" i="16" s="1"/>
  <c r="A164" i="16" s="1"/>
  <c r="A165" i="16" s="1"/>
  <c r="A166" i="16" s="1"/>
  <c r="A169" i="16" s="1"/>
  <c r="A170" i="16" s="1"/>
  <c r="A171" i="16" s="1"/>
  <c r="A172" i="16" s="1"/>
  <c r="A173" i="16" s="1"/>
  <c r="A174" i="16" s="1"/>
  <c r="A176" i="16" s="1"/>
  <c r="A177" i="16" s="1"/>
  <c r="A180" i="16" s="1"/>
  <c r="A181" i="16" s="1"/>
  <c r="A183" i="16" s="1"/>
  <c r="A184" i="16" s="1"/>
  <c r="A185"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2" i="16" s="1"/>
  <c r="A213" i="16" s="1"/>
  <c r="A214" i="16" s="1"/>
  <c r="A215" i="16" s="1"/>
  <c r="A216" i="16" s="1"/>
  <c r="A217" i="16" s="1"/>
  <c r="A218" i="16" s="1"/>
  <c r="A219" i="16" s="1"/>
  <c r="A221" i="16" s="1"/>
  <c r="A222" i="16" s="1"/>
  <c r="A223" i="16" s="1"/>
  <c r="A225" i="16" s="1"/>
  <c r="A226" i="16" s="1"/>
  <c r="A227" i="16" s="1"/>
  <c r="A228" i="16" s="1"/>
  <c r="A229" i="16" s="1"/>
  <c r="A230" i="16" s="1"/>
  <c r="A231" i="16" s="1"/>
  <c r="A234" i="16" s="1"/>
  <c r="A236" i="16" s="1"/>
  <c r="A237" i="16" s="1"/>
  <c r="A238" i="16" s="1"/>
  <c r="A239" i="16" s="1"/>
  <c r="A240" i="16" s="1"/>
  <c r="A241" i="16" s="1"/>
  <c r="A245" i="16" s="1"/>
  <c r="A249" i="16" s="1"/>
  <c r="A250" i="16" s="1"/>
  <c r="A251" i="16" s="1"/>
  <c r="A252" i="16" s="1"/>
  <c r="A253" i="16" s="1"/>
  <c r="A254" i="16" s="1"/>
  <c r="A256" i="16" s="1"/>
  <c r="A258" i="16" s="1"/>
  <c r="A259" i="16" s="1"/>
  <c r="A261" i="16" s="1"/>
  <c r="A263" i="16" s="1"/>
  <c r="A264" i="16" s="1"/>
  <c r="A265" i="16" s="1"/>
  <c r="A266" i="16" s="1"/>
  <c r="A267" i="16" s="1"/>
  <c r="A268" i="16" s="1"/>
  <c r="A269" i="16" s="1"/>
  <c r="A270" i="16" s="1"/>
  <c r="A271" i="16" s="1"/>
  <c r="A272" i="16" s="1"/>
  <c r="A273" i="16" s="1"/>
  <c r="A274" i="16" s="1"/>
  <c r="A275" i="16" s="1"/>
  <c r="A276" i="16" s="1"/>
  <c r="A279" i="16" s="1"/>
  <c r="A280" i="16" s="1"/>
  <c r="A281" i="16" s="1"/>
  <c r="A282" i="16" s="1"/>
  <c r="A283" i="16" s="1"/>
  <c r="A284" i="16" s="1"/>
  <c r="A285" i="16" s="1"/>
  <c r="A286" i="16" s="1"/>
  <c r="A287" i="16" s="1"/>
  <c r="A288" i="16" s="1"/>
  <c r="A289" i="16" s="1"/>
  <c r="A290" i="16" s="1"/>
  <c r="A291" i="16" s="1"/>
  <c r="A294" i="16" s="1"/>
  <c r="A295" i="16" s="1"/>
  <c r="A296" i="16" s="1"/>
  <c r="A297" i="16" s="1"/>
  <c r="A298" i="16" s="1"/>
  <c r="A299" i="16" s="1"/>
  <c r="A300" i="16" s="1"/>
  <c r="A301" i="16" s="1"/>
  <c r="A302" i="16" s="1"/>
  <c r="A303" i="16" s="1"/>
  <c r="A304" i="16" s="1"/>
  <c r="A305" i="16" s="1"/>
  <c r="A306" i="16" s="1"/>
  <c r="A308" i="16" s="1"/>
  <c r="F42" i="16"/>
  <c r="K42" i="16" s="1"/>
  <c r="F41" i="16"/>
  <c r="K41" i="16" s="1"/>
  <c r="F40" i="16"/>
  <c r="K40" i="16" l="1"/>
  <c r="F254" i="16"/>
  <c r="F253" i="16"/>
  <c r="K253" i="16" s="1"/>
  <c r="F308" i="16"/>
  <c r="F268" i="16"/>
  <c r="F267" i="16"/>
  <c r="F266" i="16"/>
  <c r="F265" i="16"/>
  <c r="F264" i="16"/>
  <c r="F263" i="16"/>
  <c r="F252" i="16"/>
  <c r="K252" i="16" s="1"/>
  <c r="F251" i="16"/>
  <c r="K251" i="16" s="1"/>
  <c r="F250" i="16"/>
  <c r="K250" i="16" s="1"/>
  <c r="F249" i="16"/>
  <c r="K249" i="16" s="1"/>
  <c r="K266" i="16" l="1"/>
  <c r="K267" i="16"/>
  <c r="K264" i="16"/>
  <c r="K265" i="16"/>
  <c r="K263" i="16"/>
  <c r="K268" i="16"/>
  <c r="K254" i="16"/>
  <c r="K308" i="16"/>
  <c r="F314" i="16" l="1"/>
  <c r="F313" i="16"/>
  <c r="F315" i="16"/>
  <c r="F77" i="16"/>
  <c r="K77" i="16" s="1"/>
  <c r="D158" i="16"/>
  <c r="F158" i="16" s="1"/>
  <c r="F157" i="16"/>
  <c r="F133" i="16"/>
  <c r="K133" i="16" s="1"/>
  <c r="F132" i="16"/>
  <c r="K132" i="16" s="1"/>
  <c r="D143" i="16"/>
  <c r="F143" i="16" s="1"/>
  <c r="K143" i="16" s="1"/>
  <c r="D142" i="16"/>
  <c r="F142" i="16" s="1"/>
  <c r="K142" i="16" s="1"/>
  <c r="F141" i="16"/>
  <c r="F140" i="16"/>
  <c r="K140" i="16" s="1"/>
  <c r="F139" i="16"/>
  <c r="K139" i="16" s="1"/>
  <c r="F66" i="16"/>
  <c r="F147" i="16"/>
  <c r="K147" i="16" s="1"/>
  <c r="F221" i="16"/>
  <c r="F74" i="16"/>
  <c r="K74" i="16" s="1"/>
  <c r="K221" i="16" l="1"/>
  <c r="K66" i="16"/>
  <c r="K315" i="16"/>
  <c r="K313" i="16"/>
  <c r="K314" i="16"/>
  <c r="F134" i="16"/>
  <c r="K134" i="16" s="1"/>
  <c r="F68" i="16"/>
  <c r="F67" i="16"/>
  <c r="K67" i="16" s="1"/>
  <c r="K158" i="16"/>
  <c r="F79" i="16"/>
  <c r="K79" i="16" s="1"/>
  <c r="F222" i="16"/>
  <c r="K141" i="16"/>
  <c r="F65" i="16"/>
  <c r="K65" i="16" s="1"/>
  <c r="F131" i="16"/>
  <c r="K131" i="16" s="1"/>
  <c r="F223" i="16"/>
  <c r="F78" i="16"/>
  <c r="K78" i="16" s="1"/>
  <c r="F76" i="16"/>
  <c r="K76" i="16" s="1"/>
  <c r="K157" i="16"/>
  <c r="F121" i="16"/>
  <c r="F120" i="16"/>
  <c r="K120" i="16" s="1"/>
  <c r="F119" i="16"/>
  <c r="D118" i="16"/>
  <c r="F118" i="16" s="1"/>
  <c r="D108" i="16"/>
  <c r="F108" i="16" s="1"/>
  <c r="K108" i="16" s="1"/>
  <c r="F111" i="16"/>
  <c r="K111" i="16" s="1"/>
  <c r="F110" i="16"/>
  <c r="K110" i="16" s="1"/>
  <c r="F109" i="16"/>
  <c r="K109" i="16" s="1"/>
  <c r="F73" i="16"/>
  <c r="K73" i="16" s="1"/>
  <c r="F60" i="16"/>
  <c r="F59" i="16"/>
  <c r="F91" i="16"/>
  <c r="F90" i="16"/>
  <c r="F72" i="16"/>
  <c r="K72" i="16" s="1"/>
  <c r="F71" i="16"/>
  <c r="K71" i="16" s="1"/>
  <c r="F107" i="16"/>
  <c r="K107" i="16" s="1"/>
  <c r="F88" i="16"/>
  <c r="F82" i="16"/>
  <c r="K82" i="16" s="1"/>
  <c r="F93" i="16"/>
  <c r="F156" i="16"/>
  <c r="F138" i="16"/>
  <c r="K138" i="16" s="1"/>
  <c r="F130" i="16"/>
  <c r="K130" i="16" s="1"/>
  <c r="F117" i="16"/>
  <c r="K117" i="16" s="1"/>
  <c r="F114" i="16"/>
  <c r="K114" i="16" s="1"/>
  <c r="F161" i="16"/>
  <c r="F225" i="16"/>
  <c r="F226" i="16"/>
  <c r="F227" i="16"/>
  <c r="K227" i="16" s="1"/>
  <c r="F47" i="16"/>
  <c r="F38" i="16"/>
  <c r="F46" i="16"/>
  <c r="F45" i="16"/>
  <c r="F33" i="16"/>
  <c r="F34" i="16"/>
  <c r="F35" i="16"/>
  <c r="F36" i="16"/>
  <c r="F37" i="16"/>
  <c r="F39" i="16"/>
  <c r="F32" i="16"/>
  <c r="F31" i="16"/>
  <c r="K118" i="16" l="1"/>
  <c r="K121" i="16"/>
  <c r="K119" i="16"/>
  <c r="K33" i="16"/>
  <c r="K32" i="16"/>
  <c r="K39" i="16"/>
  <c r="K38" i="16"/>
  <c r="K45" i="16"/>
  <c r="K46" i="16"/>
  <c r="K47" i="16"/>
  <c r="K226" i="16"/>
  <c r="K225" i="16"/>
  <c r="K222" i="16"/>
  <c r="K223" i="16"/>
  <c r="K37" i="16"/>
  <c r="K36" i="16"/>
  <c r="K35" i="16"/>
  <c r="K34" i="16"/>
  <c r="K68" i="16"/>
  <c r="K161" i="16"/>
  <c r="K60" i="16"/>
  <c r="K156" i="16"/>
  <c r="K93" i="16"/>
  <c r="K88" i="16"/>
  <c r="K91" i="16"/>
  <c r="K59" i="16"/>
  <c r="K90" i="16"/>
  <c r="K31" i="16"/>
  <c r="A332" i="16"/>
  <c r="F317" i="16" l="1"/>
  <c r="F316" i="16"/>
  <c r="F212" i="16"/>
  <c r="K316" i="16" l="1"/>
  <c r="K317" i="16"/>
  <c r="K212" i="16"/>
  <c r="L28" i="16" s="1"/>
  <c r="L310" i="16" l="1"/>
  <c r="F26" i="16"/>
  <c r="F24" i="16"/>
  <c r="F23" i="16"/>
  <c r="F22" i="16"/>
  <c r="F21" i="16"/>
  <c r="F20" i="16"/>
  <c r="F18" i="16"/>
  <c r="F17" i="16"/>
  <c r="F16" i="16"/>
  <c r="F15" i="16"/>
  <c r="F14" i="16"/>
  <c r="F13" i="16"/>
  <c r="F12" i="16"/>
  <c r="F11" i="16"/>
  <c r="F10" i="16"/>
  <c r="F9" i="16"/>
  <c r="K20" i="16" l="1"/>
  <c r="K26" i="16"/>
  <c r="K15" i="16"/>
  <c r="K14" i="16"/>
  <c r="K13" i="16"/>
  <c r="K17" i="16"/>
  <c r="K10" i="16"/>
  <c r="K18" i="16"/>
  <c r="K23" i="16"/>
  <c r="K11" i="16"/>
  <c r="K24" i="16"/>
  <c r="K21" i="16"/>
  <c r="K9" i="16"/>
  <c r="K12" i="16"/>
  <c r="K16" i="16"/>
  <c r="K22" i="16"/>
  <c r="K334" i="16" l="1"/>
  <c r="L7" i="16"/>
  <c r="L334" i="16" s="1"/>
  <c r="A7" i="16"/>
  <c r="A9" i="16" l="1"/>
  <c r="K335" i="16" l="1"/>
  <c r="K336" i="16" s="1"/>
  <c r="L335" i="16" l="1"/>
  <c r="L336" i="16" s="1"/>
  <c r="A26" i="16" l="1"/>
  <c r="A31" i="16" s="1"/>
  <c r="A313" i="16" l="1"/>
</calcChain>
</file>

<file path=xl/sharedStrings.xml><?xml version="1.0" encoding="utf-8"?>
<sst xmlns="http://schemas.openxmlformats.org/spreadsheetml/2006/main" count="556" uniqueCount="287">
  <si>
    <t>DESCRIPTION</t>
  </si>
  <si>
    <t>SUB TOTAL</t>
  </si>
  <si>
    <t>SR #</t>
  </si>
  <si>
    <t>QUANTITY</t>
  </si>
  <si>
    <t>WASTAGE
(10%)</t>
  </si>
  <si>
    <t>QTY WITH
WASTAGE</t>
  </si>
  <si>
    <t>UNIT OF
MEASURMENT</t>
  </si>
  <si>
    <t>TOTAL ITEM
COST</t>
  </si>
  <si>
    <t>TOTAL TRADE
COST</t>
  </si>
  <si>
    <t>TOTAL BID</t>
  </si>
  <si>
    <t>OVERHEAD &amp; PROFIT (25%)</t>
  </si>
  <si>
    <t>CSI SECT</t>
  </si>
  <si>
    <t>GENERAL CONDITIONS</t>
  </si>
  <si>
    <t>LS</t>
  </si>
  <si>
    <t>Permits Documentation And Fees</t>
  </si>
  <si>
    <t>Hazardous Waste Or Disposal Work</t>
  </si>
  <si>
    <t>Owner Purchased, Contractor Installed Items</t>
  </si>
  <si>
    <t>Contractors Use Of New And Existing Facilities</t>
  </si>
  <si>
    <t>Correction Of Unsatisfactory Conditions</t>
  </si>
  <si>
    <t>Restoration Of Unit Damaged During Installation</t>
  </si>
  <si>
    <t xml:space="preserve">Replacement Of Units Which Cannot Be Restored </t>
  </si>
  <si>
    <t>Maintaining Existing Construction In Weather High Conditions</t>
  </si>
  <si>
    <t>Signage</t>
  </si>
  <si>
    <t>Supervisory Personnel</t>
  </si>
  <si>
    <t/>
  </si>
  <si>
    <t>Temporary Services</t>
  </si>
  <si>
    <t>Water</t>
  </si>
  <si>
    <t>Lighting And Power</t>
  </si>
  <si>
    <t>Toilet Facilities</t>
  </si>
  <si>
    <t>Material Storage</t>
  </si>
  <si>
    <t>Contractor's Safety Program</t>
  </si>
  <si>
    <t>EXISTING CONDITIONS</t>
  </si>
  <si>
    <t>DIV.01</t>
  </si>
  <si>
    <t>DIV.02</t>
  </si>
  <si>
    <t>DIV.31</t>
  </si>
  <si>
    <t>EARTHWORKS</t>
  </si>
  <si>
    <t>Notes</t>
  </si>
  <si>
    <t>1. This estimate is based on real market prices that are regularly updated by our team persons through market surveys and online resoures, we still encourage our clients to put their own.</t>
  </si>
  <si>
    <t>2. This sheet is your property and we encourage you to fine tune the wastage and pricing values to your preference.</t>
  </si>
  <si>
    <t xml:space="preserve">PREPARED BY : </t>
  </si>
  <si>
    <t>LF</t>
  </si>
  <si>
    <t>EA</t>
  </si>
  <si>
    <t>SF</t>
  </si>
  <si>
    <t>DEMOLITION</t>
  </si>
  <si>
    <t>SITE WORK</t>
  </si>
  <si>
    <t>CUT &amp; FILL</t>
  </si>
  <si>
    <t>Cut</t>
  </si>
  <si>
    <t>Fill</t>
  </si>
  <si>
    <t>CY</t>
  </si>
  <si>
    <t>UNIT COST (LAB+MAT)</t>
  </si>
  <si>
    <t>UNIT MAT COST</t>
  </si>
  <si>
    <t>3. Feel free to contact us for any queries or suggestions.</t>
  </si>
  <si>
    <t>UNIT LABOR COST</t>
  </si>
  <si>
    <t>Van accessible handicap parking sign</t>
  </si>
  <si>
    <t>Light poles</t>
  </si>
  <si>
    <t>Silt fence</t>
  </si>
  <si>
    <t>STORM WATER</t>
  </si>
  <si>
    <t>CURB AND GUTTER</t>
  </si>
  <si>
    <t>Saw cut control joint</t>
  </si>
  <si>
    <t>Expansion joint</t>
  </si>
  <si>
    <t>LB</t>
  </si>
  <si>
    <t>CONCRETE SIDEWALK</t>
  </si>
  <si>
    <t>4" Aggregate base</t>
  </si>
  <si>
    <t>4" Edge form</t>
  </si>
  <si>
    <t>4" Thick concrete sidewalk 4000 Psi</t>
  </si>
  <si>
    <t>8" Aggregate base</t>
  </si>
  <si>
    <t>8" Edge form</t>
  </si>
  <si>
    <t>TRUNCATED DOMES</t>
  </si>
  <si>
    <t>PAVEMENT STRIPPING</t>
  </si>
  <si>
    <t>STANDARD DUTY ASPHALT PAVEMENT</t>
  </si>
  <si>
    <t>Concrete 3000 Psi</t>
  </si>
  <si>
    <t xml:space="preserve">Formwork </t>
  </si>
  <si>
    <t>Excavation</t>
  </si>
  <si>
    <t>Backfill</t>
  </si>
  <si>
    <t>SFCA</t>
  </si>
  <si>
    <t>SIGNAGE</t>
  </si>
  <si>
    <t>8 #7 Vertical bars</t>
  </si>
  <si>
    <t>Compacted backfill</t>
  </si>
  <si>
    <t>Gravel bedding</t>
  </si>
  <si>
    <t>Excavation/Layback excavation</t>
  </si>
  <si>
    <t>DUMPSTER ENCLOSURE PAD</t>
  </si>
  <si>
    <t>DUMPSTER ENCLOSURE WALL</t>
  </si>
  <si>
    <t>Concrete 3000 Psi Concrete encasement at dumpter enclosure</t>
  </si>
  <si>
    <t xml:space="preserve">#4 @ 16" o.c. Each way </t>
  </si>
  <si>
    <t>Pipe trench dimensions are assumed and layback excavation is also included. Please confirm.</t>
  </si>
  <si>
    <t>Details for dumpster gate enclosure footings are assumed. Please confirm.</t>
  </si>
  <si>
    <t>AC</t>
  </si>
  <si>
    <t>Clearing and grubbing</t>
  </si>
  <si>
    <t>Scope: Demo,Sitework, Grading and Stormwater.</t>
  </si>
  <si>
    <t>Rest are excluded</t>
  </si>
  <si>
    <t>Exclusions</t>
  </si>
  <si>
    <t>Building concrete</t>
  </si>
  <si>
    <t>Structural excavation backfill</t>
  </si>
  <si>
    <t>LANDSCAPING</t>
  </si>
  <si>
    <t>Shrubs</t>
  </si>
  <si>
    <t>Footing</t>
  </si>
  <si>
    <t>Formwork circular footing</t>
  </si>
  <si>
    <t>#4 @ 16" o.c. Ties</t>
  </si>
  <si>
    <t>Lighting plan</t>
  </si>
  <si>
    <t>Construction Entrance</t>
  </si>
  <si>
    <t>Trench</t>
  </si>
  <si>
    <t>Trench details are assumed.</t>
  </si>
  <si>
    <t>Pipe trenches</t>
  </si>
  <si>
    <t>UTILITIES</t>
  </si>
  <si>
    <t xml:space="preserve">Compacted subgrade of all pavements </t>
  </si>
  <si>
    <t>8" Thick pad 4000 Psi</t>
  </si>
  <si>
    <t>Compacted Subgrade</t>
  </si>
  <si>
    <t>Stop Sign</t>
  </si>
  <si>
    <t xml:space="preserve">6" Dia bollard </t>
  </si>
  <si>
    <t>DUMPSTER BOLLARDS</t>
  </si>
  <si>
    <t>PROJECT :  1700 HILLANDALE ROAD</t>
  </si>
  <si>
    <t>ADDRESS : DURHAM, NORTH CAROLINA</t>
  </si>
  <si>
    <t>All Interior Property Lines to be Removed</t>
  </si>
  <si>
    <t>Existing 15" RCP Pipe to be Removed</t>
  </si>
  <si>
    <t>Existing Curb &amp; Gutter to be Removed</t>
  </si>
  <si>
    <t>Existing Asphalt Driveway to be Removed</t>
  </si>
  <si>
    <t>Existing Concrete Drive to be Removed</t>
  </si>
  <si>
    <t>Existing Gravel Driveway to be Removed</t>
  </si>
  <si>
    <t>Existing Sidewalk to be Removed</t>
  </si>
  <si>
    <t>Existing Garage Building to be Removed</t>
  </si>
  <si>
    <t>Existing Sheds to be Removed</t>
  </si>
  <si>
    <t>Existing Structural Building to be Removed</t>
  </si>
  <si>
    <t>Existing Strom Easement to be Removed</t>
  </si>
  <si>
    <t>Existing Catch Basin to be Removed</t>
  </si>
  <si>
    <t xml:space="preserve">Fencing </t>
  </si>
  <si>
    <t>Top soil stripping (4" Assumed) (370570 SF)</t>
  </si>
  <si>
    <t>Class 1 Riprap ( 26" Min Thickness) Over Woven Geotextile Fabrix</t>
  </si>
  <si>
    <t>Curb Inlet</t>
  </si>
  <si>
    <t>Drain Inlet</t>
  </si>
  <si>
    <t>Junction Box</t>
  </si>
  <si>
    <t>15" Class II Reinforced Concrete Pipe</t>
  </si>
  <si>
    <t>24" Class II Reinforced Concrete Pipe</t>
  </si>
  <si>
    <t>18" Class II Reinforced Concrete Pipe</t>
  </si>
  <si>
    <t>30" Class II Reinforced Concrete Pipe</t>
  </si>
  <si>
    <t>42" Class II Reinforced Concrete Pipe</t>
  </si>
  <si>
    <t>36" Class II Reinforced Concrete Pipe</t>
  </si>
  <si>
    <t>BIORETENTION AREA # 1</t>
  </si>
  <si>
    <t>BIORETENTION AREA # 2</t>
  </si>
  <si>
    <t>4" Perforated Pvc Underdrain Pipe</t>
  </si>
  <si>
    <t>8" Solid Wall Pvc Pipe</t>
  </si>
  <si>
    <t>Under Drain Cleanout</t>
  </si>
  <si>
    <t>Bioretention Filling Area</t>
  </si>
  <si>
    <t>Outlet Structure</t>
  </si>
  <si>
    <t>18" Class B Rip Rap Lined Scour Hole With Woven Geotextile Filter Fabric</t>
  </si>
  <si>
    <t>15" # 57 Stone Under Drain</t>
  </si>
  <si>
    <t>2" #8 Choke Stone</t>
  </si>
  <si>
    <t>4" Washed Clean Sand</t>
  </si>
  <si>
    <t xml:space="preserve">36" Fill Soil Media </t>
  </si>
  <si>
    <t>EROSION CONTROL PHASE 1</t>
  </si>
  <si>
    <t>EROSION CONTROL PHASE 2</t>
  </si>
  <si>
    <t>Inlet Protection Barrier</t>
  </si>
  <si>
    <t>Arch Filter Rock Dam</t>
  </si>
  <si>
    <t>Laydown And Stock Pile Area</t>
  </si>
  <si>
    <t>Install Temporary 6" Pvc Outlet Pipe Until Riser/ Outlet Structure is Installed</t>
  </si>
  <si>
    <t>Temporary Crossing of 24" Pvc Pipe</t>
  </si>
  <si>
    <t>Temporary Diversion Ditch</t>
  </si>
  <si>
    <t>1" ASSE # 1013 RPZ Backflow Preventer in Above Ground Heated Insulated ASSE# 1060 Enclosure</t>
  </si>
  <si>
    <t>1" Water Meter</t>
  </si>
  <si>
    <t>4" Sewer Cleanout</t>
  </si>
  <si>
    <t>4" Gate Valve</t>
  </si>
  <si>
    <t>4"x6" Tee</t>
  </si>
  <si>
    <t>5/8" Water Meter With Box</t>
  </si>
  <si>
    <t>Doghouse Manhole Tie to Existing Public Sewer</t>
  </si>
  <si>
    <t>4" Sanitary Pipe</t>
  </si>
  <si>
    <t>8" Sanitary Pipe</t>
  </si>
  <si>
    <t>3/4" Type K Copper Water Line</t>
  </si>
  <si>
    <t>6" Gate Valve</t>
  </si>
  <si>
    <t>6" Fire Hydrant</t>
  </si>
  <si>
    <t>6" 45 Degree Bend</t>
  </si>
  <si>
    <t>8" Gate Valve</t>
  </si>
  <si>
    <t>8"x4" Water Reducer</t>
  </si>
  <si>
    <t>8"x6" Tee</t>
  </si>
  <si>
    <t>12"x6" Water Reducer</t>
  </si>
  <si>
    <t>12"x8" Water Reducer</t>
  </si>
  <si>
    <t>12" Cut in Gate Valve</t>
  </si>
  <si>
    <t>12" 45 Degree Bend</t>
  </si>
  <si>
    <t>12" Gate Valve</t>
  </si>
  <si>
    <t>12"x12" Cut in Tee</t>
  </si>
  <si>
    <t>12"x6" Tee</t>
  </si>
  <si>
    <t>12"x12" Tee</t>
  </si>
  <si>
    <t>Details are assumed. Please confirm.</t>
  </si>
  <si>
    <t>Outdoor Steet Light
- Shoebox Led</t>
  </si>
  <si>
    <t>Tenon Top Concrete Promenade Concrete Pole</t>
  </si>
  <si>
    <t>Deciduous Canopy Trees</t>
  </si>
  <si>
    <t>Evergreen Canopy Trees</t>
  </si>
  <si>
    <t>Deciduous Understory Trees</t>
  </si>
  <si>
    <t>Evergreen Undersotry Trees</t>
  </si>
  <si>
    <t>Botanical Name / Common Name: Ginkgo Biloba / Ginkgo</t>
  </si>
  <si>
    <t>Botanical Name / Common Name: Liriodendron Tulipfera / Tulip Poplar</t>
  </si>
  <si>
    <t>Botanical Name / Common Name: Parrotia Persicca / Persian Parrotia</t>
  </si>
  <si>
    <t>Botanical Name / Common Name: Quercus Phellos / Willow Oak</t>
  </si>
  <si>
    <t>Botanical Name / Common Name: Quercus Shumardii / Shumard Oak</t>
  </si>
  <si>
    <t>Botanical Name / Common Name: Zelkova Serrata  / Japanese Zelkova</t>
  </si>
  <si>
    <t>Botanical Name / Common Name: Ilex Opaca / American Holly</t>
  </si>
  <si>
    <t>Botanical Name / Common Name:  Halesia Carolina / Carolina Silverbell</t>
  </si>
  <si>
    <t>Botanical Name / Common Name: Magnolia Stellata / Star Magnolia</t>
  </si>
  <si>
    <t>Botanical Name / Common Name: Ilex Vomitoria / Yaupon Holly</t>
  </si>
  <si>
    <t>Botanical Name / Common Name:  Osmanthus Heterophyllus / Holly Osmanthus</t>
  </si>
  <si>
    <t>Botanical Name / Common Name: Myrica Cerifera / Waxmyrtle</t>
  </si>
  <si>
    <t>Botanical Name / Common Name: Loroperatalum Chinenis Var Rubrum ' Daruma / Daruma Loropetalum</t>
  </si>
  <si>
    <t>Botanical Name / Common Name: Jasminum Nudiflorum / Jasmine</t>
  </si>
  <si>
    <t>Botanical Name / Common Name: Buddleia Davidii ' Pugtser Blue' / Butterfly Bush</t>
  </si>
  <si>
    <t>Botanical Name / Common Name: Forsythia x Intermedia / Forsythia</t>
  </si>
  <si>
    <t>Botanical Name / Common Name: Gardenia Jasmenoides 'Frostproof' / Frostproof Gardenia</t>
  </si>
  <si>
    <t>Botanical Name / Common Name: Gelsemium Sempervirens / Carolina Yellow Jessamine</t>
  </si>
  <si>
    <t>Botanical Name / Common Name: Hydrangea Paniculata ' Little Lime' / Little Lime Hydrangea</t>
  </si>
  <si>
    <t>Botanical Name / Common Name: Ilex Crenata ' Soft Touch' / Soft Touch Holly</t>
  </si>
  <si>
    <t>Botanical Name / Common Name: Ilex Vomitoria ' Schillings' / Dwarf Yaupon Holly</t>
  </si>
  <si>
    <t>Botanical Name / Common Name: Ilex  Glabra / Inkberry Holly</t>
  </si>
  <si>
    <t>Soded Bermuda Lawn</t>
  </si>
  <si>
    <t>3" Triple Shredded Hardwood Mulch</t>
  </si>
  <si>
    <t>BIORETENTION AREA # 1 (TREES/SHURBS/GRASSES &amp; PERENNIALS)</t>
  </si>
  <si>
    <t>BIORETENTION AREA # 2 (TREES/SHURBS/GRASSES &amp; PERENNIALS)</t>
  </si>
  <si>
    <t>Botanical Name / Common Name:  Taxodium distichum / Bald Cypress</t>
  </si>
  <si>
    <t>Botanical Name / Common Name:  Ilex Verticillata / Winterberry</t>
  </si>
  <si>
    <t>Botanical Name / Common Name:  Itea Virginica / Virginia Sweetspire</t>
  </si>
  <si>
    <t>Botanical Name / Common Name:  Asclepias Incarnata / Milkweed</t>
  </si>
  <si>
    <t>Botanical Name / Common Name:  Baptisia Australis / Blue False Indigo</t>
  </si>
  <si>
    <t>Botanical Name / Common Name:  Echinacea Purpurea / Blue False Indigo</t>
  </si>
  <si>
    <t>Botanical Name / Common Name:  Heliopsis Helianthoides / False Sunflower</t>
  </si>
  <si>
    <t>Botanical Name / Common Name: Lobelia Cardinalis / Cardinal Flower</t>
  </si>
  <si>
    <t>Botanical Name / Common Name:  Panicum Virgatum / Switch Grass</t>
  </si>
  <si>
    <t>Botanical Name / Common Name:  Rudebckia Hirta / Blackeyed Susan</t>
  </si>
  <si>
    <t>Botanical Name / Common Name:  Salidago Rugosa / Goldenrod</t>
  </si>
  <si>
    <t>Botanical Name / Common Name:  Sorghastrum Nutans / Indiangrass</t>
  </si>
  <si>
    <t>Tree Protection Fence
- Orange UV Resistant High Tensile Strength Poly Barricade Fabric Post @ 10'-0" O.C [4' High]
- 40" W x 18" H  ( No Trespassing Sign)</t>
  </si>
  <si>
    <t>TA: 4" White Mini Skip Stripping (Thermoplastic Marking)</t>
  </si>
  <si>
    <t>TB: 4" White Edge Line  Solid Stripping (Thermoplastic Marking)</t>
  </si>
  <si>
    <t>TC: 8" White Crosswalk Stripping (Thermoplastic Marking)</t>
  </si>
  <si>
    <t>TE: 4" White Turn Lane Line(Solid) Stripping (Thermoplastic Marking)</t>
  </si>
  <si>
    <t>TT: Yellow Diagonal Line Stripping (Thermoplastic Marking)</t>
  </si>
  <si>
    <t>TJ: White Line Stripping (Thermoplastic Marking)</t>
  </si>
  <si>
    <t>TI: 4" Yellow Double Center Line Stripping (Thermoplastic Marking)</t>
  </si>
  <si>
    <t>TG: 4"  Yellow Edge Line Stripping (Thermoplastic Marking)</t>
  </si>
  <si>
    <t>Precast Sanitary Sewer Manhole</t>
  </si>
  <si>
    <t>1x6 Lapped Cementious Siding With 4x4 P.T Post  [8'-0" High]</t>
  </si>
  <si>
    <t xml:space="preserve">TRASH CAN </t>
  </si>
  <si>
    <t xml:space="preserve"> Dumpster Trash Can</t>
  </si>
  <si>
    <t>Details for Dumpster pad are assumed. Please confirm.</t>
  </si>
  <si>
    <t>DUMPSTER ENCLOSURE GATE &amp;  POST FOOTING</t>
  </si>
  <si>
    <t>1x6 Cementinious Siding Gate Dumpster gate [6'-0" Wide x 7'-2" High] 
- 6" Dia Steel Post</t>
  </si>
  <si>
    <t>Truncated Domes</t>
  </si>
  <si>
    <t>4" White Stripping</t>
  </si>
  <si>
    <t>4" White Diagnol Stripping</t>
  </si>
  <si>
    <t>8" Crosswalk</t>
  </si>
  <si>
    <t>24" Stop Bar</t>
  </si>
  <si>
    <t>Directional Arrow Pavement Sign</t>
  </si>
  <si>
    <t xml:space="preserve">ADA Handicap Pavement Symbol </t>
  </si>
  <si>
    <t>Aplhabatic Letter (VAN Accessible ) on Pavement</t>
  </si>
  <si>
    <t>Fire Lane Stripping</t>
  </si>
  <si>
    <t>30" Wide Roll Curb &amp; Gutter</t>
  </si>
  <si>
    <t>30" Standard Curb &amp; Gutter</t>
  </si>
  <si>
    <t>48" Valley Gutter</t>
  </si>
  <si>
    <t>Handicap Signage</t>
  </si>
  <si>
    <t>Leasing Office Sign</t>
  </si>
  <si>
    <t>MISC ITEM</t>
  </si>
  <si>
    <t>Mail Kiosk Box/ CBU</t>
  </si>
  <si>
    <t>WHEEL STOPS</t>
  </si>
  <si>
    <t>Concrete Wheel Stop</t>
  </si>
  <si>
    <t>ALL WEATHER TRAIL</t>
  </si>
  <si>
    <t>CONCRETE DRIVE</t>
  </si>
  <si>
    <t>CONCRETE STEPS</t>
  </si>
  <si>
    <t>Concrete Steps  (4'-0" Wide x 6" Riser x 12" Treads)</t>
  </si>
  <si>
    <t>Concrete Steps  (5'-0" Wide x 6" Riser x 12" Treads)</t>
  </si>
  <si>
    <t>Steps Sizes are Assumed Co-ordinate With Architect.</t>
  </si>
  <si>
    <t>Bike Rack</t>
  </si>
  <si>
    <t>4" Compacted  Subgrade</t>
  </si>
  <si>
    <t>4"  Hardwood Mulch
- Woven Geotextile Sepration Fabric
- Undistured Native Soil</t>
  </si>
  <si>
    <t>8" Compacted  Aggregate base</t>
  </si>
  <si>
    <t>3" Type S-9.5 C Surface Course Placed in Two Layer</t>
  </si>
  <si>
    <t>Riparian Buffer Sign</t>
  </si>
  <si>
    <t>8" Thick concrete pavement 4000 Psi</t>
  </si>
  <si>
    <t>Details for Concrete Drive are assumed. Please confirm.</t>
  </si>
  <si>
    <t>Concrete Washout</t>
  </si>
  <si>
    <t>2" Water Line</t>
  </si>
  <si>
    <t>4" Water Line</t>
  </si>
  <si>
    <t>6" Water Line</t>
  </si>
  <si>
    <t>8" Water Line</t>
  </si>
  <si>
    <t>12" Water Line</t>
  </si>
  <si>
    <t>SEGMENTAL RETANING WALL (DESIGN BY OTHER)</t>
  </si>
  <si>
    <t xml:space="preserve">Modular Concrete Facing Unit </t>
  </si>
  <si>
    <t xml:space="preserve">6" Granular Leveling Pad </t>
  </si>
  <si>
    <t>12"  Thick Drainage Aggregate</t>
  </si>
  <si>
    <t>42" Min High Non Climbale Fence @ Segmental Retaning above Wall</t>
  </si>
  <si>
    <t>Height is  assumed. Please confirm.</t>
  </si>
  <si>
    <t>UA: Left Turn Arrow Stripping (Thermoplastic Marking)</t>
  </si>
  <si>
    <t>DATE : 06/03/2022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</si>
</sst>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quot;$&quot;* #,##0.0_);_(&quot;$&quot;* \(#,##0.0\);_(&quot;$&quot;* &quot;-&quot;??_);_(@_)"/>
    <numFmt numFmtId="167" formatCode="#,##0.0_);\(#,##0.0\)"/>
    <numFmt numFmtId="168" formatCode="_(* #,##0.00_);_(* \(#,##0.00\);_(* &quot;-&quot;_);_(@_)"/>
  </numFmts>
  <fonts count="36"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1"/>
      <color theme="1"/>
      <name val="Calibri"/>
      <family val="2"/>
      <scheme val="minor"/>
    </font>
    <font>
      <b/>
      <sz val="11"/>
      <name val="Calibri"/>
      <family val="2"/>
      <scheme val="minor"/>
    </font>
    <font>
      <sz val="11"/>
      <name val="Calibri"/>
      <family val="2"/>
      <scheme val="minor"/>
    </font>
    <font>
      <sz val="12"/>
      <name val="Arial"/>
      <family val="2"/>
    </font>
    <font>
      <sz val="12"/>
      <name val="Arial"/>
      <family val="2"/>
    </font>
    <font>
      <b/>
      <sz val="11"/>
      <color theme="0" tint="-0.499984740745262"/>
      <name val="Calibri"/>
      <family val="2"/>
      <scheme val="minor"/>
    </font>
    <font>
      <b/>
      <sz val="11"/>
      <color theme="9" tint="-0.249977111117893"/>
      <name val="Calibri"/>
      <family val="2"/>
      <scheme val="minor"/>
    </font>
    <font>
      <b/>
      <sz val="14"/>
      <color theme="9"/>
      <name val="Calibri"/>
      <family val="2"/>
      <scheme val="minor"/>
    </font>
    <font>
      <b/>
      <i/>
      <sz val="11"/>
      <name val="Calibri"/>
      <family val="2"/>
      <scheme val="minor"/>
    </font>
    <font>
      <b/>
      <sz val="11"/>
      <color theme="1"/>
      <name val="Calibri"/>
      <family val="2"/>
      <scheme val="minor"/>
    </font>
    <font>
      <sz val="11"/>
      <color rgb="FFFF000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theme="1"/>
      </top>
      <bottom style="medium">
        <color theme="1"/>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thin">
        <color indexed="64"/>
      </right>
      <top style="thin">
        <color indexed="64"/>
      </top>
      <bottom style="medium">
        <color theme="1"/>
      </bottom>
      <diagonal/>
    </border>
    <border>
      <left/>
      <right/>
      <top style="thin">
        <color indexed="64"/>
      </top>
      <bottom style="medium">
        <color theme="1"/>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top style="medium">
        <color theme="1"/>
      </top>
      <bottom/>
      <diagonal/>
    </border>
    <border>
      <left/>
      <right/>
      <top style="medium">
        <color theme="1"/>
      </top>
      <bottom/>
      <diagonal/>
    </border>
    <border>
      <left style="thin">
        <color indexed="64"/>
      </left>
      <right style="thin">
        <color indexed="64"/>
      </right>
      <top style="medium">
        <color theme="1"/>
      </top>
      <bottom/>
      <diagonal/>
    </border>
    <border>
      <left/>
      <right style="thin">
        <color indexed="64"/>
      </right>
      <top style="medium">
        <color theme="1"/>
      </top>
      <bottom style="medium">
        <color theme="1"/>
      </bottom>
      <diagonal/>
    </border>
    <border>
      <left/>
      <right style="thin">
        <color indexed="64"/>
      </right>
      <top style="medium">
        <color theme="1"/>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4">
    <xf numFmtId="0" fontId="0"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43" fontId="24"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5" fillId="0" borderId="0"/>
    <xf numFmtId="0" fontId="24" fillId="0" borderId="0"/>
    <xf numFmtId="0" fontId="6" fillId="0" borderId="0"/>
    <xf numFmtId="0" fontId="25" fillId="0" borderId="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6" fillId="0" borderId="0"/>
    <xf numFmtId="43" fontId="6" fillId="0" borderId="0" applyFont="0" applyFill="0" applyBorder="0" applyAlignment="0" applyProtection="0"/>
    <xf numFmtId="44" fontId="28" fillId="0" borderId="0" applyFont="0" applyFill="0" applyBorder="0" applyAlignment="0" applyProtection="0"/>
    <xf numFmtId="9" fontId="29" fillId="0" borderId="0" applyFont="0" applyFill="0" applyBorder="0" applyAlignment="0" applyProtection="0"/>
    <xf numFmtId="0" fontId="3" fillId="0" borderId="0"/>
  </cellStyleXfs>
  <cellXfs count="138">
    <xf numFmtId="0" fontId="0" fillId="0" borderId="0" xfId="0"/>
    <xf numFmtId="0" fontId="27" fillId="0" borderId="0" xfId="0" applyFont="1" applyFill="1" applyBorder="1" applyAlignment="1">
      <alignment vertical="top"/>
    </xf>
    <xf numFmtId="0" fontId="27" fillId="0" borderId="0" xfId="0" applyFont="1" applyAlignment="1">
      <alignment vertical="top"/>
    </xf>
    <xf numFmtId="9" fontId="27" fillId="0" borderId="0" xfId="0" applyNumberFormat="1" applyFont="1" applyBorder="1" applyAlignment="1">
      <alignment vertical="top"/>
    </xf>
    <xf numFmtId="0" fontId="27" fillId="0" borderId="0" xfId="0" applyFont="1" applyFill="1" applyBorder="1" applyAlignment="1">
      <alignment horizontal="center" vertical="top"/>
    </xf>
    <xf numFmtId="165" fontId="26" fillId="0" borderId="12" xfId="0" applyNumberFormat="1" applyFont="1" applyFill="1" applyBorder="1" applyAlignment="1">
      <alignment vertical="top"/>
    </xf>
    <xf numFmtId="0" fontId="27" fillId="0" borderId="0" xfId="0" applyFont="1" applyFill="1" applyAlignment="1">
      <alignment vertical="top"/>
    </xf>
    <xf numFmtId="0" fontId="26" fillId="24" borderId="11" xfId="0" applyFont="1" applyFill="1" applyBorder="1" applyAlignment="1">
      <alignment horizontal="center" vertical="top"/>
    </xf>
    <xf numFmtId="0" fontId="26" fillId="24" borderId="11" xfId="0" applyFont="1" applyFill="1" applyBorder="1" applyAlignment="1">
      <alignment vertical="top"/>
    </xf>
    <xf numFmtId="165" fontId="26" fillId="24" borderId="13" xfId="0" applyNumberFormat="1" applyFont="1" applyFill="1" applyBorder="1" applyAlignment="1">
      <alignment vertical="top"/>
    </xf>
    <xf numFmtId="0" fontId="27" fillId="0" borderId="0" xfId="0" applyFont="1" applyAlignment="1">
      <alignment horizontal="center" vertical="top"/>
    </xf>
    <xf numFmtId="0" fontId="26" fillId="0" borderId="0" xfId="0" applyFont="1" applyFill="1" applyBorder="1" applyAlignment="1">
      <alignment vertical="top"/>
    </xf>
    <xf numFmtId="0" fontId="27" fillId="0" borderId="17" xfId="0" applyFont="1" applyBorder="1" applyAlignment="1">
      <alignment vertical="top"/>
    </xf>
    <xf numFmtId="9" fontId="27" fillId="0" borderId="17" xfId="0" applyNumberFormat="1" applyFont="1" applyBorder="1" applyAlignment="1">
      <alignment vertical="top"/>
    </xf>
    <xf numFmtId="1" fontId="27" fillId="0" borderId="17" xfId="0" applyNumberFormat="1" applyFont="1" applyBorder="1" applyAlignment="1">
      <alignment vertical="top"/>
    </xf>
    <xf numFmtId="0" fontId="27" fillId="0" borderId="17" xfId="0" applyFont="1" applyBorder="1" applyAlignment="1">
      <alignment horizontal="center" vertical="top"/>
    </xf>
    <xf numFmtId="0" fontId="27" fillId="0" borderId="16" xfId="0" applyFont="1" applyBorder="1" applyAlignment="1">
      <alignment vertical="top"/>
    </xf>
    <xf numFmtId="1" fontId="27" fillId="0" borderId="12" xfId="0" applyNumberFormat="1" applyFont="1" applyFill="1" applyBorder="1" applyAlignment="1">
      <alignment vertical="top"/>
    </xf>
    <xf numFmtId="1" fontId="27" fillId="0" borderId="16" xfId="0" applyNumberFormat="1" applyFont="1" applyFill="1" applyBorder="1" applyAlignment="1">
      <alignment vertical="top"/>
    </xf>
    <xf numFmtId="1" fontId="26" fillId="24" borderId="13" xfId="0" applyNumberFormat="1" applyFont="1" applyFill="1" applyBorder="1" applyAlignment="1">
      <alignment vertical="top"/>
    </xf>
    <xf numFmtId="44" fontId="27" fillId="0" borderId="0" xfId="91" applyFont="1" applyFill="1" applyBorder="1" applyAlignment="1">
      <alignment vertical="top"/>
    </xf>
    <xf numFmtId="44" fontId="26" fillId="24" borderId="11" xfId="91" applyFont="1" applyFill="1" applyBorder="1" applyAlignment="1">
      <alignment vertical="top"/>
    </xf>
    <xf numFmtId="44" fontId="27" fillId="0" borderId="17" xfId="91" applyFont="1" applyBorder="1" applyAlignment="1">
      <alignment vertical="top"/>
    </xf>
    <xf numFmtId="44" fontId="27" fillId="0" borderId="0" xfId="91" applyFont="1" applyAlignment="1">
      <alignment vertical="top"/>
    </xf>
    <xf numFmtId="166" fontId="27" fillId="0" borderId="0" xfId="91" applyNumberFormat="1" applyFont="1" applyFill="1" applyBorder="1" applyAlignment="1">
      <alignment vertical="top"/>
    </xf>
    <xf numFmtId="166" fontId="26" fillId="24" borderId="11" xfId="91" applyNumberFormat="1" applyFont="1" applyFill="1" applyBorder="1" applyAlignment="1">
      <alignment vertical="top"/>
    </xf>
    <xf numFmtId="166" fontId="27" fillId="0" borderId="17" xfId="91" applyNumberFormat="1" applyFont="1" applyBorder="1" applyAlignment="1">
      <alignment vertical="top"/>
    </xf>
    <xf numFmtId="166" fontId="27" fillId="0" borderId="0" xfId="91" applyNumberFormat="1" applyFont="1" applyAlignment="1">
      <alignment vertical="top"/>
    </xf>
    <xf numFmtId="9" fontId="27" fillId="0" borderId="0" xfId="0" applyNumberFormat="1" applyFont="1" applyBorder="1" applyAlignment="1">
      <alignment vertical="center"/>
    </xf>
    <xf numFmtId="0" fontId="27" fillId="0" borderId="0" xfId="0" applyFont="1" applyFill="1" applyBorder="1" applyAlignment="1">
      <alignment horizontal="center" vertical="center"/>
    </xf>
    <xf numFmtId="1" fontId="27" fillId="0" borderId="12" xfId="0" applyNumberFormat="1" applyFont="1" applyFill="1" applyBorder="1" applyAlignment="1">
      <alignment horizontal="center"/>
    </xf>
    <xf numFmtId="0" fontId="27" fillId="0" borderId="0" xfId="0" applyFont="1" applyBorder="1"/>
    <xf numFmtId="41" fontId="27" fillId="0" borderId="0" xfId="0" applyNumberFormat="1" applyFont="1" applyFill="1" applyBorder="1" applyAlignment="1">
      <alignment horizontal="right" vertical="center"/>
    </xf>
    <xf numFmtId="166" fontId="27" fillId="0" borderId="0" xfId="0" applyNumberFormat="1" applyFont="1" applyBorder="1" applyAlignment="1">
      <alignment vertical="center"/>
    </xf>
    <xf numFmtId="165" fontId="27" fillId="0" borderId="0" xfId="0" applyNumberFormat="1" applyFont="1" applyBorder="1" applyAlignment="1">
      <alignment vertical="center"/>
    </xf>
    <xf numFmtId="0" fontId="27" fillId="0" borderId="12" xfId="0" applyFont="1" applyBorder="1"/>
    <xf numFmtId="166" fontId="27" fillId="0" borderId="0" xfId="91" applyNumberFormat="1" applyFont="1"/>
    <xf numFmtId="0" fontId="27" fillId="0" borderId="0" xfId="0" applyFont="1"/>
    <xf numFmtId="0" fontId="27" fillId="0" borderId="0" xfId="0" applyFont="1" applyFill="1" applyBorder="1" applyAlignment="1">
      <alignment horizontal="justify" vertical="center" wrapText="1"/>
    </xf>
    <xf numFmtId="37" fontId="27" fillId="0" borderId="0" xfId="0" applyNumberFormat="1" applyFont="1" applyFill="1" applyBorder="1" applyAlignment="1">
      <alignment horizontal="right" vertical="center"/>
    </xf>
    <xf numFmtId="0" fontId="26" fillId="0" borderId="0" xfId="0" applyFont="1" applyAlignment="1">
      <alignment wrapText="1"/>
    </xf>
    <xf numFmtId="37" fontId="27" fillId="0" borderId="0" xfId="0" applyNumberFormat="1" applyFont="1"/>
    <xf numFmtId="0" fontId="27" fillId="0" borderId="0" xfId="0" applyFont="1" applyBorder="1" applyAlignment="1">
      <alignment vertical="top" wrapText="1"/>
    </xf>
    <xf numFmtId="0" fontId="26" fillId="24" borderId="11" xfId="0" applyFont="1" applyFill="1" applyBorder="1" applyAlignment="1">
      <alignment vertical="top" wrapText="1"/>
    </xf>
    <xf numFmtId="0" fontId="26" fillId="0" borderId="0" xfId="0" applyFont="1" applyFill="1" applyBorder="1" applyAlignment="1">
      <alignment horizontal="justify" vertical="center" wrapText="1"/>
    </xf>
    <xf numFmtId="0" fontId="27" fillId="0" borderId="0" xfId="0" applyFont="1" applyAlignment="1">
      <alignment wrapText="1"/>
    </xf>
    <xf numFmtId="0" fontId="26" fillId="0" borderId="17" xfId="0" applyFont="1" applyBorder="1" applyAlignment="1">
      <alignment vertical="top" wrapText="1"/>
    </xf>
    <xf numFmtId="0" fontId="27" fillId="0" borderId="0" xfId="0" applyFont="1" applyAlignment="1">
      <alignment vertical="top" wrapText="1"/>
    </xf>
    <xf numFmtId="0" fontId="26" fillId="0" borderId="14" xfId="0" applyFont="1" applyFill="1" applyBorder="1" applyAlignment="1">
      <alignment vertical="top"/>
    </xf>
    <xf numFmtId="0" fontId="27" fillId="0" borderId="10" xfId="0" applyFont="1" applyFill="1" applyBorder="1" applyAlignment="1">
      <alignment vertical="top"/>
    </xf>
    <xf numFmtId="0" fontId="27" fillId="0" borderId="10" xfId="0" applyFont="1" applyFill="1" applyBorder="1" applyAlignment="1">
      <alignment vertical="top" wrapText="1"/>
    </xf>
    <xf numFmtId="164" fontId="27" fillId="0" borderId="10" xfId="0" applyNumberFormat="1" applyFont="1" applyFill="1" applyBorder="1" applyAlignment="1" applyProtection="1">
      <alignment vertical="top"/>
    </xf>
    <xf numFmtId="0" fontId="27" fillId="0" borderId="10" xfId="0" applyFont="1" applyFill="1" applyBorder="1" applyAlignment="1">
      <alignment horizontal="center" vertical="top"/>
    </xf>
    <xf numFmtId="166" fontId="27" fillId="0" borderId="10" xfId="91" applyNumberFormat="1" applyFont="1" applyFill="1" applyBorder="1" applyAlignment="1">
      <alignment vertical="top"/>
    </xf>
    <xf numFmtId="165" fontId="26" fillId="0" borderId="10" xfId="91" applyNumberFormat="1" applyFont="1" applyFill="1" applyBorder="1" applyAlignment="1">
      <alignment vertical="top"/>
    </xf>
    <xf numFmtId="42" fontId="26" fillId="0" borderId="15" xfId="0" applyNumberFormat="1" applyFont="1" applyFill="1" applyBorder="1" applyAlignment="1">
      <alignment vertical="top"/>
    </xf>
    <xf numFmtId="9" fontId="26" fillId="0" borderId="10" xfId="92" applyFont="1" applyFill="1" applyBorder="1" applyAlignment="1">
      <alignment horizontal="center" vertical="top"/>
    </xf>
    <xf numFmtId="0" fontId="26" fillId="0" borderId="18" xfId="0" applyFont="1" applyFill="1" applyBorder="1" applyAlignment="1">
      <alignment vertical="top"/>
    </xf>
    <xf numFmtId="0" fontId="27" fillId="0" borderId="19" xfId="0" applyFont="1" applyFill="1" applyBorder="1" applyAlignment="1">
      <alignment vertical="top"/>
    </xf>
    <xf numFmtId="0" fontId="27" fillId="0" borderId="19" xfId="0" applyFont="1" applyFill="1" applyBorder="1" applyAlignment="1">
      <alignment vertical="top" wrapText="1"/>
    </xf>
    <xf numFmtId="164" fontId="27" fillId="0" borderId="19" xfId="0" applyNumberFormat="1" applyFont="1" applyFill="1" applyBorder="1" applyAlignment="1" applyProtection="1">
      <alignment vertical="top"/>
    </xf>
    <xf numFmtId="0" fontId="27" fillId="0" borderId="19" xfId="0" applyFont="1" applyFill="1" applyBorder="1" applyAlignment="1">
      <alignment horizontal="center" vertical="top"/>
    </xf>
    <xf numFmtId="166" fontId="27" fillId="0" borderId="19" xfId="91" applyNumberFormat="1" applyFont="1" applyFill="1" applyBorder="1" applyAlignment="1">
      <alignment vertical="top"/>
    </xf>
    <xf numFmtId="165" fontId="26" fillId="0" borderId="19" xfId="91" applyNumberFormat="1" applyFont="1" applyFill="1" applyBorder="1" applyAlignment="1">
      <alignment vertical="top"/>
    </xf>
    <xf numFmtId="42" fontId="26" fillId="0" borderId="20" xfId="0" applyNumberFormat="1" applyFont="1" applyFill="1" applyBorder="1" applyAlignment="1">
      <alignment vertical="top"/>
    </xf>
    <xf numFmtId="0" fontId="26" fillId="0" borderId="21" xfId="0" applyFont="1" applyFill="1" applyBorder="1" applyAlignment="1">
      <alignment vertical="top"/>
    </xf>
    <xf numFmtId="0" fontId="27" fillId="0" borderId="22" xfId="0" applyFont="1" applyFill="1" applyBorder="1" applyAlignment="1">
      <alignment vertical="top"/>
    </xf>
    <xf numFmtId="0" fontId="27" fillId="0" borderId="22" xfId="0" applyFont="1" applyFill="1" applyBorder="1" applyAlignment="1">
      <alignment vertical="top" wrapText="1"/>
    </xf>
    <xf numFmtId="164" fontId="27" fillId="0" borderId="22" xfId="0" applyNumberFormat="1" applyFont="1" applyFill="1" applyBorder="1" applyAlignment="1" applyProtection="1">
      <alignment vertical="top"/>
    </xf>
    <xf numFmtId="0" fontId="27" fillId="0" borderId="22" xfId="0" applyFont="1" applyFill="1" applyBorder="1" applyAlignment="1">
      <alignment horizontal="center" vertical="top"/>
    </xf>
    <xf numFmtId="9" fontId="26" fillId="0" borderId="22" xfId="92" applyFont="1" applyFill="1" applyBorder="1" applyAlignment="1">
      <alignment horizontal="center" vertical="top"/>
    </xf>
    <xf numFmtId="165" fontId="26" fillId="0" borderId="22" xfId="91" applyNumberFormat="1" applyFont="1" applyFill="1" applyBorder="1" applyAlignment="1">
      <alignment vertical="top"/>
    </xf>
    <xf numFmtId="42" fontId="26" fillId="0" borderId="23" xfId="0" applyNumberFormat="1" applyFont="1" applyFill="1" applyBorder="1" applyAlignment="1">
      <alignment vertical="top"/>
    </xf>
    <xf numFmtId="0" fontId="26" fillId="0" borderId="14" xfId="0" applyFont="1" applyFill="1" applyBorder="1" applyAlignment="1">
      <alignment horizontal="left" vertical="top"/>
    </xf>
    <xf numFmtId="0" fontId="30" fillId="0" borderId="10" xfId="0" applyFont="1" applyFill="1" applyBorder="1" applyAlignment="1">
      <alignment vertical="top" wrapText="1"/>
    </xf>
    <xf numFmtId="164" fontId="27" fillId="0" borderId="10" xfId="0" applyNumberFormat="1" applyFont="1" applyFill="1" applyBorder="1" applyAlignment="1" applyProtection="1">
      <alignment horizontal="center" vertical="top"/>
    </xf>
    <xf numFmtId="42" fontId="26" fillId="0" borderId="10" xfId="0" applyNumberFormat="1" applyFont="1" applyFill="1" applyBorder="1" applyAlignment="1">
      <alignment vertical="top"/>
    </xf>
    <xf numFmtId="42" fontId="26" fillId="0" borderId="24" xfId="0" applyNumberFormat="1" applyFont="1" applyFill="1" applyBorder="1" applyAlignment="1">
      <alignment vertical="top"/>
    </xf>
    <xf numFmtId="0" fontId="26" fillId="0" borderId="14" xfId="0" applyFont="1" applyFill="1" applyBorder="1" applyAlignment="1">
      <alignment horizontal="centerContinuous" vertical="center"/>
    </xf>
    <xf numFmtId="0" fontId="27" fillId="0" borderId="10" xfId="0" applyFont="1" applyBorder="1" applyAlignment="1">
      <alignment horizontal="centerContinuous" vertical="center"/>
    </xf>
    <xf numFmtId="0" fontId="27" fillId="0" borderId="10" xfId="0" applyFont="1" applyBorder="1" applyAlignment="1">
      <alignment horizontal="centerContinuous" vertical="center" wrapText="1"/>
    </xf>
    <xf numFmtId="0" fontId="27" fillId="0" borderId="10" xfId="0" applyFont="1" applyBorder="1" applyAlignment="1">
      <alignment horizontal="center" vertical="center"/>
    </xf>
    <xf numFmtId="0" fontId="27" fillId="0" borderId="24" xfId="0" applyFont="1" applyBorder="1" applyAlignment="1">
      <alignment horizontal="centerContinuous" vertical="center"/>
    </xf>
    <xf numFmtId="0" fontId="27" fillId="0" borderId="18" xfId="0" applyFont="1" applyFill="1" applyBorder="1" applyAlignment="1">
      <alignment horizontal="left" vertical="top"/>
    </xf>
    <xf numFmtId="0" fontId="27" fillId="0" borderId="19" xfId="0" applyFont="1" applyBorder="1" applyAlignment="1"/>
    <xf numFmtId="0" fontId="27" fillId="0" borderId="19" xfId="0" applyFont="1" applyBorder="1" applyAlignment="1">
      <alignment wrapText="1"/>
    </xf>
    <xf numFmtId="0" fontId="27" fillId="0" borderId="19" xfId="0" applyFont="1" applyBorder="1" applyAlignment="1">
      <alignment horizontal="center"/>
    </xf>
    <xf numFmtId="0" fontId="27" fillId="0" borderId="25" xfId="0" applyFont="1" applyBorder="1" applyAlignment="1"/>
    <xf numFmtId="0" fontId="27" fillId="0" borderId="26" xfId="0" applyFont="1" applyBorder="1" applyAlignment="1"/>
    <xf numFmtId="0" fontId="27" fillId="0" borderId="26" xfId="0" applyFont="1" applyBorder="1" applyAlignment="1">
      <alignment wrapText="1"/>
    </xf>
    <xf numFmtId="0" fontId="27" fillId="0" borderId="26" xfId="0" applyFont="1" applyBorder="1" applyAlignment="1">
      <alignment horizontal="center"/>
    </xf>
    <xf numFmtId="0" fontId="26" fillId="0" borderId="0" xfId="0" applyFont="1"/>
    <xf numFmtId="37" fontId="27" fillId="0" borderId="0" xfId="0" applyNumberFormat="1" applyFont="1" applyBorder="1" applyAlignment="1">
      <alignment vertical="top"/>
    </xf>
    <xf numFmtId="37" fontId="26" fillId="24" borderId="11" xfId="0" applyNumberFormat="1" applyFont="1" applyFill="1" applyBorder="1" applyAlignment="1">
      <alignment vertical="top"/>
    </xf>
    <xf numFmtId="37" fontId="27" fillId="0" borderId="17" xfId="0" applyNumberFormat="1" applyFont="1" applyBorder="1" applyAlignment="1">
      <alignment vertical="top"/>
    </xf>
    <xf numFmtId="37" fontId="27" fillId="0" borderId="10" xfId="0" applyNumberFormat="1" applyFont="1" applyFill="1" applyBorder="1" applyAlignment="1" applyProtection="1">
      <alignment vertical="top"/>
    </xf>
    <xf numFmtId="37" fontId="27" fillId="0" borderId="19" xfId="0" applyNumberFormat="1" applyFont="1" applyFill="1" applyBorder="1" applyAlignment="1" applyProtection="1">
      <alignment vertical="top"/>
    </xf>
    <xf numFmtId="37" fontId="27" fillId="0" borderId="22" xfId="0" applyNumberFormat="1" applyFont="1" applyFill="1" applyBorder="1" applyAlignment="1" applyProtection="1">
      <alignment vertical="top"/>
    </xf>
    <xf numFmtId="37" fontId="27" fillId="0" borderId="10" xfId="0" applyNumberFormat="1" applyFont="1" applyFill="1" applyBorder="1" applyAlignment="1" applyProtection="1">
      <alignment horizontal="center" vertical="top"/>
    </xf>
    <xf numFmtId="37" fontId="27" fillId="0" borderId="10" xfId="0" applyNumberFormat="1" applyFont="1" applyBorder="1" applyAlignment="1">
      <alignment horizontal="centerContinuous" vertical="center"/>
    </xf>
    <xf numFmtId="37" fontId="27" fillId="0" borderId="19" xfId="0" applyNumberFormat="1" applyFont="1" applyBorder="1" applyAlignment="1"/>
    <xf numFmtId="37" fontId="27" fillId="0" borderId="26" xfId="0" applyNumberFormat="1" applyFont="1" applyBorder="1" applyAlignment="1"/>
    <xf numFmtId="37" fontId="27" fillId="0" borderId="0" xfId="0" applyNumberFormat="1" applyFont="1" applyAlignment="1">
      <alignment vertical="top"/>
    </xf>
    <xf numFmtId="0" fontId="0" fillId="0" borderId="0" xfId="0" applyAlignment="1">
      <alignment wrapText="1"/>
    </xf>
    <xf numFmtId="167" fontId="27" fillId="0" borderId="0" xfId="0" applyNumberFormat="1" applyFont="1"/>
    <xf numFmtId="39" fontId="27" fillId="0" borderId="0" xfId="0" applyNumberFormat="1" applyFont="1"/>
    <xf numFmtId="168" fontId="27" fillId="0" borderId="0" xfId="0" applyNumberFormat="1" applyFont="1" applyFill="1" applyBorder="1" applyAlignment="1">
      <alignment horizontal="right" vertical="center"/>
    </xf>
    <xf numFmtId="0" fontId="26" fillId="0" borderId="0" xfId="0" applyFont="1" applyAlignment="1">
      <alignment vertical="top"/>
    </xf>
    <xf numFmtId="0" fontId="33" fillId="0" borderId="0" xfId="0" applyFont="1" applyAlignment="1">
      <alignment vertical="top"/>
    </xf>
    <xf numFmtId="9" fontId="27" fillId="0" borderId="0" xfId="0" applyNumberFormat="1" applyFont="1" applyAlignment="1">
      <alignment vertical="top"/>
    </xf>
    <xf numFmtId="165" fontId="26" fillId="0" borderId="12" xfId="0" applyNumberFormat="1" applyFont="1" applyBorder="1" applyAlignment="1">
      <alignment vertical="top"/>
    </xf>
    <xf numFmtId="9" fontId="27" fillId="0" borderId="0" xfId="0" applyNumberFormat="1" applyFont="1" applyAlignment="1">
      <alignment vertical="center"/>
    </xf>
    <xf numFmtId="41" fontId="27" fillId="0" borderId="0" xfId="0" applyNumberFormat="1" applyFont="1" applyAlignment="1">
      <alignment horizontal="right" vertical="center"/>
    </xf>
    <xf numFmtId="0" fontId="27" fillId="0" borderId="0" xfId="0" applyFont="1" applyAlignment="1">
      <alignment horizontal="center" vertical="center"/>
    </xf>
    <xf numFmtId="166" fontId="27" fillId="0" borderId="0" xfId="0" applyNumberFormat="1" applyFont="1" applyAlignment="1">
      <alignment vertical="center"/>
    </xf>
    <xf numFmtId="165" fontId="27" fillId="0" borderId="0" xfId="0" applyNumberFormat="1" applyFont="1" applyAlignment="1">
      <alignment vertical="center"/>
    </xf>
    <xf numFmtId="37" fontId="27" fillId="0" borderId="0" xfId="0" applyNumberFormat="1" applyFont="1" applyAlignment="1">
      <alignment vertical="center"/>
    </xf>
    <xf numFmtId="167" fontId="27" fillId="0" borderId="0" xfId="0" applyNumberFormat="1" applyFont="1" applyFill="1" applyBorder="1" applyAlignment="1">
      <alignment horizontal="right" vertical="center"/>
    </xf>
    <xf numFmtId="0" fontId="2" fillId="0" borderId="0" xfId="0" applyFont="1"/>
    <xf numFmtId="0" fontId="34" fillId="0" borderId="0" xfId="0" applyFont="1" applyAlignment="1">
      <alignment wrapText="1"/>
    </xf>
    <xf numFmtId="0" fontId="34" fillId="0" borderId="0" xfId="0" applyFont="1"/>
    <xf numFmtId="0" fontId="2" fillId="0" borderId="0" xfId="0" applyFont="1" applyAlignment="1">
      <alignment wrapText="1"/>
    </xf>
    <xf numFmtId="0" fontId="2" fillId="0" borderId="0" xfId="0" applyFont="1" applyFill="1" applyBorder="1" applyAlignment="1">
      <alignment horizontal="justify" vertical="center" wrapText="1"/>
    </xf>
    <xf numFmtId="0" fontId="34" fillId="0" borderId="0" xfId="0" applyFont="1" applyFill="1" applyBorder="1" applyAlignment="1">
      <alignment horizontal="justify" vertical="center" wrapText="1"/>
    </xf>
    <xf numFmtId="0" fontId="31" fillId="0" borderId="0" xfId="0" applyFont="1" applyAlignment="1">
      <alignment horizontal="left" vertical="center"/>
    </xf>
    <xf numFmtId="0" fontId="32" fillId="0" borderId="0" xfId="0" applyFont="1" applyAlignment="1">
      <alignment horizontal="left"/>
    </xf>
    <xf numFmtId="0" fontId="32" fillId="0" borderId="0" xfId="0" applyFont="1" applyAlignment="1">
      <alignment horizontal="left" vertical="top"/>
    </xf>
    <xf numFmtId="0" fontId="31" fillId="0" borderId="0" xfId="0" applyFont="1" applyAlignment="1">
      <alignment horizontal="left" vertical="center" wrapText="1"/>
    </xf>
    <xf numFmtId="0" fontId="31" fillId="0" borderId="0" xfId="0" applyFont="1" applyBorder="1" applyAlignment="1">
      <alignment horizontal="left" vertical="center"/>
    </xf>
    <xf numFmtId="0" fontId="26" fillId="24" borderId="28" xfId="0" applyFont="1" applyFill="1" applyBorder="1" applyAlignment="1">
      <alignment horizontal="center" vertical="center"/>
    </xf>
    <xf numFmtId="0" fontId="26" fillId="24" borderId="29" xfId="0" applyFont="1" applyFill="1" applyBorder="1" applyAlignment="1">
      <alignment horizontal="center" vertical="center"/>
    </xf>
    <xf numFmtId="0" fontId="26" fillId="24" borderId="27" xfId="0" applyFont="1" applyFill="1" applyBorder="1" applyAlignment="1">
      <alignment horizontal="center" vertical="center" wrapText="1"/>
    </xf>
    <xf numFmtId="37" fontId="26" fillId="24" borderId="27" xfId="0" applyNumberFormat="1" applyFont="1" applyFill="1" applyBorder="1" applyAlignment="1">
      <alignment horizontal="center" vertical="center"/>
    </xf>
    <xf numFmtId="166" fontId="26" fillId="24" borderId="27" xfId="91" applyNumberFormat="1" applyFont="1" applyFill="1" applyBorder="1" applyAlignment="1">
      <alignment horizontal="center" vertical="center" wrapText="1"/>
    </xf>
    <xf numFmtId="44" fontId="26" fillId="24" borderId="30" xfId="91" applyFont="1" applyFill="1" applyBorder="1" applyAlignment="1">
      <alignment horizontal="center" vertical="center" wrapText="1"/>
    </xf>
    <xf numFmtId="0" fontId="26" fillId="24" borderId="31" xfId="0" applyFont="1" applyFill="1" applyBorder="1" applyAlignment="1">
      <alignment horizontal="center" vertical="center" wrapText="1"/>
    </xf>
    <xf numFmtId="0" fontId="1" fillId="0" borderId="0" xfId="0" applyFont="1"/>
    <xf numFmtId="0" fontId="35" fillId="0" borderId="0" xfId="0" applyFont="1"/>
  </cellXfs>
  <cellStyles count="94">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Bad 2" xfId="49" xr:uid="{00000000-0005-0000-0000-000030000000}"/>
    <cellStyle name="Bad 3" xfId="50" xr:uid="{00000000-0005-0000-0000-000031000000}"/>
    <cellStyle name="Calculation 2" xfId="51" xr:uid="{00000000-0005-0000-0000-000032000000}"/>
    <cellStyle name="Calculation 3" xfId="52" xr:uid="{00000000-0005-0000-0000-000033000000}"/>
    <cellStyle name="Check Cell 2" xfId="53" xr:uid="{00000000-0005-0000-0000-000034000000}"/>
    <cellStyle name="Check Cell 3" xfId="54" xr:uid="{00000000-0005-0000-0000-000035000000}"/>
    <cellStyle name="Comma 2" xfId="55" xr:uid="{00000000-0005-0000-0000-000036000000}"/>
    <cellStyle name="Comma 2 2" xfId="90" xr:uid="{00000000-0005-0000-0000-000037000000}"/>
    <cellStyle name="Currency" xfId="91" builtinId="4"/>
    <cellStyle name="Explanatory Text 2" xfId="56" xr:uid="{00000000-0005-0000-0000-000039000000}"/>
    <cellStyle name="Explanatory Text 3" xfId="57" xr:uid="{00000000-0005-0000-0000-00003A000000}"/>
    <cellStyle name="Good 2" xfId="58" xr:uid="{00000000-0005-0000-0000-00003B000000}"/>
    <cellStyle name="Good 3" xfId="59" xr:uid="{00000000-0005-0000-0000-00003C000000}"/>
    <cellStyle name="Heading 1 2" xfId="60" xr:uid="{00000000-0005-0000-0000-00003D000000}"/>
    <cellStyle name="Heading 1 3" xfId="61" xr:uid="{00000000-0005-0000-0000-00003E000000}"/>
    <cellStyle name="Heading 2 2" xfId="62" xr:uid="{00000000-0005-0000-0000-00003F000000}"/>
    <cellStyle name="Heading 2 3" xfId="63" xr:uid="{00000000-0005-0000-0000-000040000000}"/>
    <cellStyle name="Heading 3 2" xfId="64" xr:uid="{00000000-0005-0000-0000-000041000000}"/>
    <cellStyle name="Heading 3 3" xfId="65" xr:uid="{00000000-0005-0000-0000-000042000000}"/>
    <cellStyle name="Heading 4 2" xfId="66" xr:uid="{00000000-0005-0000-0000-000043000000}"/>
    <cellStyle name="Heading 4 3" xfId="67" xr:uid="{00000000-0005-0000-0000-000044000000}"/>
    <cellStyle name="Input 2" xfId="68" xr:uid="{00000000-0005-0000-0000-000045000000}"/>
    <cellStyle name="Input 3" xfId="69" xr:uid="{00000000-0005-0000-0000-000046000000}"/>
    <cellStyle name="Linked Cell 2" xfId="70" xr:uid="{00000000-0005-0000-0000-000047000000}"/>
    <cellStyle name="Linked Cell 3" xfId="71" xr:uid="{00000000-0005-0000-0000-000048000000}"/>
    <cellStyle name="Neutral 2" xfId="72" xr:uid="{00000000-0005-0000-0000-000049000000}"/>
    <cellStyle name="Neutral 3" xfId="73" xr:uid="{00000000-0005-0000-0000-00004A000000}"/>
    <cellStyle name="Normal" xfId="0" builtinId="0"/>
    <cellStyle name="Normal 2" xfId="89" xr:uid="{00000000-0005-0000-0000-00004C000000}"/>
    <cellStyle name="Normal 2 2" xfId="74" xr:uid="{00000000-0005-0000-0000-00004D000000}"/>
    <cellStyle name="Normal 2 3" xfId="75" xr:uid="{00000000-0005-0000-0000-00004E000000}"/>
    <cellStyle name="Normal 3" xfId="76" xr:uid="{00000000-0005-0000-0000-00004F000000}"/>
    <cellStyle name="Normal 4" xfId="88" xr:uid="{00000000-0005-0000-0000-000050000000}"/>
    <cellStyle name="Normal 5" xfId="93" xr:uid="{00000000-0005-0000-0000-000051000000}"/>
    <cellStyle name="Normal 6" xfId="77" xr:uid="{00000000-0005-0000-0000-000052000000}"/>
    <cellStyle name="Note 2" xfId="78" xr:uid="{00000000-0005-0000-0000-000053000000}"/>
    <cellStyle name="Note 3" xfId="79" xr:uid="{00000000-0005-0000-0000-000054000000}"/>
    <cellStyle name="Output 2" xfId="80" xr:uid="{00000000-0005-0000-0000-000055000000}"/>
    <cellStyle name="Output 3" xfId="81" xr:uid="{00000000-0005-0000-0000-000056000000}"/>
    <cellStyle name="Percent" xfId="92" builtinId="5"/>
    <cellStyle name="Title 2" xfId="82" xr:uid="{00000000-0005-0000-0000-000058000000}"/>
    <cellStyle name="Title 3" xfId="83" xr:uid="{00000000-0005-0000-0000-000059000000}"/>
    <cellStyle name="Total 2" xfId="84" xr:uid="{00000000-0005-0000-0000-00005A000000}"/>
    <cellStyle name="Total 3" xfId="85" xr:uid="{00000000-0005-0000-0000-00005B000000}"/>
    <cellStyle name="Warning Text 2" xfId="86" xr:uid="{00000000-0005-0000-0000-00005C000000}"/>
    <cellStyle name="Warning Text 3" xfId="87" xr:uid="{00000000-0005-0000-0000-00005D000000}"/>
  </cellStyles>
  <dxfs count="0"/>
  <tableStyles count="0" defaultTableStyle="TableStyleMedium9" defaultPivotStyle="PivotStyleLight16"/>
  <colors>
    <mruColors>
      <color rgb="FFD4F5FA"/>
      <color rgb="FF48B8E0"/>
      <color rgb="FFFFFFFF"/>
      <color rgb="FF6DD9FF"/>
      <color rgb="FF2DC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2FBB-422C-82D2-334952C77813}"/>
            </c:ext>
          </c:extLst>
        </c:ser>
        <c:dLbls>
          <c:showLegendKey val="0"/>
          <c:showVal val="0"/>
          <c:showCatName val="0"/>
          <c:showSerName val="0"/>
          <c:showPercent val="0"/>
          <c:showBubbleSize val="0"/>
        </c:dLbls>
        <c:gapWidth val="150"/>
        <c:axId val="-1324417872"/>
        <c:axId val="-1324417328"/>
      </c:barChart>
      <c:catAx>
        <c:axId val="-1324417872"/>
        <c:scaling>
          <c:orientation val="minMax"/>
        </c:scaling>
        <c:delete val="0"/>
        <c:axPos val="b"/>
        <c:numFmt formatCode="General" sourceLinked="1"/>
        <c:majorTickMark val="none"/>
        <c:minorTickMark val="none"/>
        <c:tickLblPos val="nextTo"/>
        <c:txPr>
          <a:bodyPr rot="-2700000" vert="horz"/>
          <a:lstStyle/>
          <a:p>
            <a:pPr>
              <a:defRPr sz="800" b="1" i="0" u="none" strike="noStrike" baseline="0">
                <a:solidFill>
                  <a:srgbClr val="000000"/>
                </a:solidFill>
                <a:latin typeface="Verdana"/>
                <a:ea typeface="Verdana"/>
                <a:cs typeface="Verdana"/>
              </a:defRPr>
            </a:pPr>
            <a:endParaRPr lang="en-US"/>
          </a:p>
        </c:txPr>
        <c:crossAx val="-1324417328"/>
        <c:crosses val="autoZero"/>
        <c:auto val="1"/>
        <c:lblAlgn val="ctr"/>
        <c:lblOffset val="100"/>
        <c:noMultiLvlLbl val="0"/>
      </c:catAx>
      <c:valAx>
        <c:axId val="-1324417328"/>
        <c:scaling>
          <c:orientation val="minMax"/>
        </c:scaling>
        <c:delete val="0"/>
        <c:axPos val="l"/>
        <c:majorGridlines/>
        <c:numFmt formatCode="General" sourceLinked="1"/>
        <c:majorTickMark val="none"/>
        <c:minorTickMark val="none"/>
        <c:tickLblPos val="nextTo"/>
        <c:txPr>
          <a:bodyPr rot="0" vert="horz"/>
          <a:lstStyle/>
          <a:p>
            <a:pPr>
              <a:defRPr sz="800" b="1" i="0" u="none" strike="noStrike" baseline="0">
                <a:solidFill>
                  <a:srgbClr val="000000"/>
                </a:solidFill>
                <a:latin typeface="Verdana"/>
                <a:ea typeface="Verdana"/>
                <a:cs typeface="Verdana"/>
              </a:defRPr>
            </a:pPr>
            <a:endParaRPr lang="en-US"/>
          </a:p>
        </c:txPr>
        <c:crossAx val="-132441787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41"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8225" cy="6286500"/>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7"/>
  <sheetViews>
    <sheetView tabSelected="1" view="pageBreakPreview" zoomScale="85" zoomScaleSheetLayoutView="85" workbookViewId="0">
      <selection activeCell="C19" sqref="C19"/>
    </sheetView>
  </sheetViews>
  <sheetFormatPr defaultRowHeight="15" x14ac:dyDescent="0.2"/>
  <cols>
    <col min="1" max="1" width="4.44140625" style="2" customWidth="1"/>
    <col min="2" max="2" width="10.109375" style="2" customWidth="1"/>
    <col min="3" max="3" width="62.21875" style="47" customWidth="1"/>
    <col min="4" max="4" width="10.109375" style="102" bestFit="1" customWidth="1"/>
    <col min="5" max="5" width="8.5546875" style="2" customWidth="1"/>
    <col min="6" max="6" width="9.33203125" style="2" customWidth="1"/>
    <col min="7" max="7" width="11.21875" style="10" bestFit="1" customWidth="1"/>
    <col min="8" max="9" width="11.21875" style="10" customWidth="1"/>
    <col min="10" max="10" width="10.44140625" style="27" customWidth="1"/>
    <col min="11" max="11" width="13.77734375" style="23" customWidth="1"/>
    <col min="12" max="12" width="11.77734375" style="2" customWidth="1"/>
    <col min="13" max="16384" width="8.88671875" style="2"/>
  </cols>
  <sheetData>
    <row r="1" spans="1:12" ht="18.75" x14ac:dyDescent="0.3">
      <c r="A1" s="125"/>
      <c r="B1" s="125"/>
      <c r="C1" s="125"/>
      <c r="D1" s="41"/>
      <c r="E1" s="37"/>
      <c r="F1" s="127" t="s">
        <v>110</v>
      </c>
      <c r="G1" s="127"/>
      <c r="H1" s="127"/>
      <c r="I1" s="127"/>
      <c r="J1" s="127"/>
      <c r="K1" s="127"/>
      <c r="L1" s="127"/>
    </row>
    <row r="2" spans="1:12" ht="9.75" customHeight="1" x14ac:dyDescent="0.3">
      <c r="A2" s="125"/>
      <c r="B2" s="125"/>
      <c r="C2" s="125"/>
      <c r="D2" s="41"/>
      <c r="E2" s="37"/>
      <c r="F2" s="124" t="s">
        <v>111</v>
      </c>
      <c r="G2" s="124"/>
      <c r="H2" s="124"/>
      <c r="I2" s="124"/>
      <c r="J2" s="124"/>
      <c r="K2" s="124"/>
      <c r="L2" s="124"/>
    </row>
    <row r="3" spans="1:12" ht="15" customHeight="1" x14ac:dyDescent="0.25">
      <c r="A3" s="126"/>
      <c r="B3" s="126"/>
      <c r="C3" s="126"/>
      <c r="D3" s="41"/>
      <c r="E3" s="37"/>
      <c r="F3" s="124"/>
      <c r="G3" s="124"/>
      <c r="H3" s="124"/>
      <c r="I3" s="124"/>
      <c r="J3" s="124"/>
      <c r="K3" s="124"/>
      <c r="L3" s="124"/>
    </row>
    <row r="4" spans="1:12" ht="16.5" thickBot="1" x14ac:dyDescent="0.3">
      <c r="A4"/>
      <c r="B4"/>
      <c r="C4" s="103"/>
      <c r="D4" s="41"/>
      <c r="E4" s="37"/>
      <c r="F4" s="128" t="s">
        <v>286</v>
      </c>
      <c r="G4" s="128"/>
      <c r="H4" s="128"/>
      <c r="I4" s="128"/>
      <c r="J4" s="128"/>
      <c r="K4" s="128"/>
      <c r="L4" s="128"/>
    </row>
    <row r="5" spans="1:12" ht="41.25" customHeight="1" thickBot="1" x14ac:dyDescent="0.25">
      <c r="A5" s="129" t="s">
        <v>2</v>
      </c>
      <c r="B5" s="130" t="s">
        <v>11</v>
      </c>
      <c r="C5" s="131" t="s">
        <v>0</v>
      </c>
      <c r="D5" s="132" t="s">
        <v>3</v>
      </c>
      <c r="E5" s="131" t="s">
        <v>4</v>
      </c>
      <c r="F5" s="131" t="s">
        <v>5</v>
      </c>
      <c r="G5" s="131" t="s">
        <v>6</v>
      </c>
      <c r="H5" s="131" t="s">
        <v>52</v>
      </c>
      <c r="I5" s="131" t="s">
        <v>50</v>
      </c>
      <c r="J5" s="133" t="s">
        <v>49</v>
      </c>
      <c r="K5" s="134" t="s">
        <v>7</v>
      </c>
      <c r="L5" s="135" t="s">
        <v>8</v>
      </c>
    </row>
    <row r="6" spans="1:12" s="6" customFormat="1" ht="15.75" thickBot="1" x14ac:dyDescent="0.25">
      <c r="A6" s="17"/>
      <c r="B6" s="11"/>
      <c r="C6" s="42"/>
      <c r="D6" s="92"/>
      <c r="E6" s="3"/>
      <c r="F6" s="1"/>
      <c r="G6" s="4"/>
      <c r="H6" s="4"/>
      <c r="I6" s="4"/>
      <c r="J6" s="24"/>
      <c r="K6" s="20"/>
      <c r="L6" s="5"/>
    </row>
    <row r="7" spans="1:12" ht="15.75" thickBot="1" x14ac:dyDescent="0.25">
      <c r="A7" s="19" t="str">
        <f>IF(F7&lt;&gt;"",1+MAX(#REF!),"")</f>
        <v/>
      </c>
      <c r="B7" s="7" t="s">
        <v>32</v>
      </c>
      <c r="C7" s="43" t="s">
        <v>12</v>
      </c>
      <c r="D7" s="93"/>
      <c r="E7" s="8"/>
      <c r="F7" s="8"/>
      <c r="G7" s="7"/>
      <c r="H7" s="7"/>
      <c r="I7" s="7"/>
      <c r="J7" s="25"/>
      <c r="K7" s="21"/>
      <c r="L7" s="9">
        <f>SUM(K9:K26)</f>
        <v>0</v>
      </c>
    </row>
    <row r="8" spans="1:12" s="6" customFormat="1" x14ac:dyDescent="0.2">
      <c r="A8" s="17"/>
      <c r="B8" s="11"/>
      <c r="C8" s="42"/>
      <c r="D8" s="92"/>
      <c r="E8" s="3"/>
      <c r="F8" s="1"/>
      <c r="G8" s="4"/>
      <c r="H8" s="4"/>
      <c r="I8" s="4"/>
      <c r="J8" s="24"/>
      <c r="K8" s="20"/>
      <c r="L8" s="5"/>
    </row>
    <row r="9" spans="1:12" s="37" customFormat="1" x14ac:dyDescent="0.25">
      <c r="A9" s="30">
        <f>IF(F9&lt;&gt;"",1+MAX($A$7:A8),"")</f>
        <v>1</v>
      </c>
      <c r="B9" s="31"/>
      <c r="C9" s="44" t="s">
        <v>14</v>
      </c>
      <c r="D9" s="39">
        <v>1</v>
      </c>
      <c r="E9" s="28">
        <v>0</v>
      </c>
      <c r="F9" s="32">
        <f>D9*(1+E9)</f>
        <v>1</v>
      </c>
      <c r="G9" s="29" t="s">
        <v>13</v>
      </c>
      <c r="H9" s="29"/>
      <c r="I9" s="29"/>
      <c r="J9" s="33"/>
      <c r="K9" s="34">
        <f t="shared" ref="K9:K18" si="0">J9*F9</f>
        <v>0</v>
      </c>
      <c r="L9" s="35"/>
    </row>
    <row r="10" spans="1:12" s="37" customFormat="1" x14ac:dyDescent="0.25">
      <c r="A10" s="30">
        <f>IF(F10&lt;&gt;"",1+MAX($A$7:A9),"")</f>
        <v>2</v>
      </c>
      <c r="B10" s="31"/>
      <c r="C10" s="44" t="s">
        <v>15</v>
      </c>
      <c r="D10" s="39">
        <v>1</v>
      </c>
      <c r="E10" s="28">
        <v>0</v>
      </c>
      <c r="F10" s="32">
        <f t="shared" ref="F10:F24" si="1">D10*(1+E10)</f>
        <v>1</v>
      </c>
      <c r="G10" s="29" t="s">
        <v>13</v>
      </c>
      <c r="H10" s="29"/>
      <c r="I10" s="29"/>
      <c r="J10" s="33"/>
      <c r="K10" s="34">
        <f t="shared" si="0"/>
        <v>0</v>
      </c>
      <c r="L10" s="35"/>
    </row>
    <row r="11" spans="1:12" s="37" customFormat="1" x14ac:dyDescent="0.25">
      <c r="A11" s="30">
        <f>IF(F11&lt;&gt;"",1+MAX($A$7:A10),"")</f>
        <v>3</v>
      </c>
      <c r="B11" s="31"/>
      <c r="C11" s="44" t="s">
        <v>16</v>
      </c>
      <c r="D11" s="39">
        <v>1</v>
      </c>
      <c r="E11" s="28">
        <v>0</v>
      </c>
      <c r="F11" s="32">
        <f t="shared" si="1"/>
        <v>1</v>
      </c>
      <c r="G11" s="29" t="s">
        <v>13</v>
      </c>
      <c r="H11" s="29"/>
      <c r="I11" s="29"/>
      <c r="J11" s="33"/>
      <c r="K11" s="34">
        <f t="shared" si="0"/>
        <v>0</v>
      </c>
      <c r="L11" s="35"/>
    </row>
    <row r="12" spans="1:12" s="37" customFormat="1" x14ac:dyDescent="0.25">
      <c r="A12" s="30">
        <f>IF(F12&lt;&gt;"",1+MAX($A$7:A11),"")</f>
        <v>4</v>
      </c>
      <c r="B12" s="31"/>
      <c r="C12" s="44" t="s">
        <v>17</v>
      </c>
      <c r="D12" s="39">
        <v>1</v>
      </c>
      <c r="E12" s="28">
        <v>0</v>
      </c>
      <c r="F12" s="32">
        <f t="shared" si="1"/>
        <v>1</v>
      </c>
      <c r="G12" s="29" t="s">
        <v>13</v>
      </c>
      <c r="H12" s="29"/>
      <c r="I12" s="29"/>
      <c r="J12" s="33"/>
      <c r="K12" s="34">
        <f t="shared" si="0"/>
        <v>0</v>
      </c>
      <c r="L12" s="35"/>
    </row>
    <row r="13" spans="1:12" s="37" customFormat="1" x14ac:dyDescent="0.25">
      <c r="A13" s="30">
        <f>IF(F13&lt;&gt;"",1+MAX($A$7:A12),"")</f>
        <v>5</v>
      </c>
      <c r="B13" s="31"/>
      <c r="C13" s="44" t="s">
        <v>18</v>
      </c>
      <c r="D13" s="39">
        <v>1</v>
      </c>
      <c r="E13" s="28">
        <v>0</v>
      </c>
      <c r="F13" s="32">
        <f t="shared" si="1"/>
        <v>1</v>
      </c>
      <c r="G13" s="29" t="s">
        <v>13</v>
      </c>
      <c r="H13" s="29"/>
      <c r="I13" s="29"/>
      <c r="J13" s="33"/>
      <c r="K13" s="34">
        <f t="shared" si="0"/>
        <v>0</v>
      </c>
      <c r="L13" s="35"/>
    </row>
    <row r="14" spans="1:12" s="37" customFormat="1" x14ac:dyDescent="0.25">
      <c r="A14" s="30">
        <f>IF(F14&lt;&gt;"",1+MAX($A$7:A13),"")</f>
        <v>6</v>
      </c>
      <c r="B14" s="31"/>
      <c r="C14" s="44" t="s">
        <v>19</v>
      </c>
      <c r="D14" s="39">
        <v>1</v>
      </c>
      <c r="E14" s="28">
        <v>0</v>
      </c>
      <c r="F14" s="32">
        <f t="shared" si="1"/>
        <v>1</v>
      </c>
      <c r="G14" s="29" t="s">
        <v>13</v>
      </c>
      <c r="H14" s="29"/>
      <c r="I14" s="29"/>
      <c r="J14" s="33"/>
      <c r="K14" s="34">
        <f t="shared" si="0"/>
        <v>0</v>
      </c>
      <c r="L14" s="35"/>
    </row>
    <row r="15" spans="1:12" s="37" customFormat="1" x14ac:dyDescent="0.25">
      <c r="A15" s="30">
        <f>IF(F15&lt;&gt;"",1+MAX($A$7:A14),"")</f>
        <v>7</v>
      </c>
      <c r="B15" s="31"/>
      <c r="C15" s="44" t="s">
        <v>20</v>
      </c>
      <c r="D15" s="39">
        <v>1</v>
      </c>
      <c r="E15" s="28">
        <v>0</v>
      </c>
      <c r="F15" s="32">
        <f t="shared" si="1"/>
        <v>1</v>
      </c>
      <c r="G15" s="29" t="s">
        <v>13</v>
      </c>
      <c r="H15" s="29"/>
      <c r="I15" s="29"/>
      <c r="J15" s="33"/>
      <c r="K15" s="34">
        <f t="shared" si="0"/>
        <v>0</v>
      </c>
      <c r="L15" s="35"/>
    </row>
    <row r="16" spans="1:12" s="37" customFormat="1" x14ac:dyDescent="0.25">
      <c r="A16" s="30">
        <f>IF(F16&lt;&gt;"",1+MAX($A$7:A15),"")</f>
        <v>8</v>
      </c>
      <c r="B16" s="31"/>
      <c r="C16" s="44" t="s">
        <v>21</v>
      </c>
      <c r="D16" s="39">
        <v>1</v>
      </c>
      <c r="E16" s="28">
        <v>0</v>
      </c>
      <c r="F16" s="32">
        <f t="shared" si="1"/>
        <v>1</v>
      </c>
      <c r="G16" s="29" t="s">
        <v>13</v>
      </c>
      <c r="H16" s="29"/>
      <c r="I16" s="29"/>
      <c r="J16" s="33"/>
      <c r="K16" s="34">
        <f t="shared" si="0"/>
        <v>0</v>
      </c>
      <c r="L16" s="35"/>
    </row>
    <row r="17" spans="1:12" s="37" customFormat="1" x14ac:dyDescent="0.25">
      <c r="A17" s="30">
        <f>IF(F17&lt;&gt;"",1+MAX($A$7:A16),"")</f>
        <v>9</v>
      </c>
      <c r="B17" s="31"/>
      <c r="C17" s="44" t="s">
        <v>22</v>
      </c>
      <c r="D17" s="39">
        <v>1</v>
      </c>
      <c r="E17" s="28">
        <v>0</v>
      </c>
      <c r="F17" s="32">
        <f t="shared" si="1"/>
        <v>1</v>
      </c>
      <c r="G17" s="29" t="s">
        <v>13</v>
      </c>
      <c r="H17" s="29"/>
      <c r="I17" s="29"/>
      <c r="J17" s="33"/>
      <c r="K17" s="34">
        <f t="shared" si="0"/>
        <v>0</v>
      </c>
      <c r="L17" s="35"/>
    </row>
    <row r="18" spans="1:12" s="37" customFormat="1" x14ac:dyDescent="0.25">
      <c r="A18" s="30">
        <f>IF(F18&lt;&gt;"",1+MAX($A$7:A17),"")</f>
        <v>10</v>
      </c>
      <c r="B18" s="31"/>
      <c r="C18" s="44" t="s">
        <v>23</v>
      </c>
      <c r="D18" s="39">
        <v>1</v>
      </c>
      <c r="E18" s="28">
        <v>0</v>
      </c>
      <c r="F18" s="32">
        <f t="shared" si="1"/>
        <v>1</v>
      </c>
      <c r="G18" s="29" t="s">
        <v>13</v>
      </c>
      <c r="H18" s="29"/>
      <c r="I18" s="29"/>
      <c r="J18" s="33"/>
      <c r="K18" s="34">
        <f t="shared" si="0"/>
        <v>0</v>
      </c>
      <c r="L18" s="35"/>
    </row>
    <row r="19" spans="1:12" s="37" customFormat="1" x14ac:dyDescent="0.25">
      <c r="A19" s="30" t="str">
        <f>IF(F19&lt;&gt;"",1+MAX($A$7:A18),"")</f>
        <v/>
      </c>
      <c r="B19" s="31"/>
      <c r="C19" s="38" t="s">
        <v>24</v>
      </c>
      <c r="D19" s="39"/>
      <c r="E19" s="28"/>
      <c r="F19" s="32"/>
      <c r="G19" s="29"/>
      <c r="H19" s="29"/>
      <c r="I19" s="29"/>
      <c r="J19" s="33"/>
      <c r="K19" s="34"/>
      <c r="L19" s="35"/>
    </row>
    <row r="20" spans="1:12" s="37" customFormat="1" x14ac:dyDescent="0.25">
      <c r="A20" s="30">
        <f>IF(F20&lt;&gt;"",1+MAX($A$7:A19),"")</f>
        <v>11</v>
      </c>
      <c r="B20" s="31"/>
      <c r="C20" s="44" t="s">
        <v>25</v>
      </c>
      <c r="D20" s="39">
        <v>1</v>
      </c>
      <c r="E20" s="28">
        <v>0</v>
      </c>
      <c r="F20" s="32">
        <f t="shared" si="1"/>
        <v>1</v>
      </c>
      <c r="G20" s="29" t="s">
        <v>13</v>
      </c>
      <c r="H20" s="29"/>
      <c r="I20" s="29"/>
      <c r="J20" s="33"/>
      <c r="K20" s="34">
        <f>J20*F20</f>
        <v>0</v>
      </c>
      <c r="L20" s="35"/>
    </row>
    <row r="21" spans="1:12" s="37" customFormat="1" x14ac:dyDescent="0.25">
      <c r="A21" s="30">
        <f>IF(F21&lt;&gt;"",1+MAX($A$7:A20),"")</f>
        <v>12</v>
      </c>
      <c r="B21" s="31"/>
      <c r="C21" s="38" t="s">
        <v>26</v>
      </c>
      <c r="D21" s="39">
        <v>1</v>
      </c>
      <c r="E21" s="28">
        <v>0</v>
      </c>
      <c r="F21" s="32">
        <f t="shared" si="1"/>
        <v>1</v>
      </c>
      <c r="G21" s="29" t="s">
        <v>13</v>
      </c>
      <c r="H21" s="29"/>
      <c r="I21" s="29"/>
      <c r="J21" s="33"/>
      <c r="K21" s="34">
        <f>J21*F21</f>
        <v>0</v>
      </c>
      <c r="L21" s="35"/>
    </row>
    <row r="22" spans="1:12" s="37" customFormat="1" x14ac:dyDescent="0.25">
      <c r="A22" s="30">
        <f>IF(F22&lt;&gt;"",1+MAX($A$7:A21),"")</f>
        <v>13</v>
      </c>
      <c r="B22" s="31"/>
      <c r="C22" s="38" t="s">
        <v>27</v>
      </c>
      <c r="D22" s="39">
        <v>1</v>
      </c>
      <c r="E22" s="28">
        <v>0</v>
      </c>
      <c r="F22" s="32">
        <f t="shared" si="1"/>
        <v>1</v>
      </c>
      <c r="G22" s="29" t="s">
        <v>13</v>
      </c>
      <c r="H22" s="29"/>
      <c r="I22" s="29"/>
      <c r="J22" s="33"/>
      <c r="K22" s="34">
        <f>J22*F22</f>
        <v>0</v>
      </c>
      <c r="L22" s="35"/>
    </row>
    <row r="23" spans="1:12" s="37" customFormat="1" x14ac:dyDescent="0.25">
      <c r="A23" s="30">
        <f>IF(F23&lt;&gt;"",1+MAX($A$7:A22),"")</f>
        <v>14</v>
      </c>
      <c r="B23" s="31"/>
      <c r="C23" s="38" t="s">
        <v>28</v>
      </c>
      <c r="D23" s="39">
        <v>1</v>
      </c>
      <c r="E23" s="28">
        <v>0</v>
      </c>
      <c r="F23" s="32">
        <f t="shared" si="1"/>
        <v>1</v>
      </c>
      <c r="G23" s="29" t="s">
        <v>13</v>
      </c>
      <c r="H23" s="29"/>
      <c r="I23" s="29"/>
      <c r="J23" s="33"/>
      <c r="K23" s="34">
        <f>J23*F23</f>
        <v>0</v>
      </c>
      <c r="L23" s="35"/>
    </row>
    <row r="24" spans="1:12" s="37" customFormat="1" x14ac:dyDescent="0.25">
      <c r="A24" s="30">
        <f>IF(F24&lt;&gt;"",1+MAX($A$7:A23),"")</f>
        <v>15</v>
      </c>
      <c r="B24" s="31"/>
      <c r="C24" s="38" t="s">
        <v>29</v>
      </c>
      <c r="D24" s="39">
        <v>1</v>
      </c>
      <c r="E24" s="28">
        <v>0</v>
      </c>
      <c r="F24" s="32">
        <f t="shared" si="1"/>
        <v>1</v>
      </c>
      <c r="G24" s="29" t="s">
        <v>13</v>
      </c>
      <c r="H24" s="29"/>
      <c r="I24" s="29"/>
      <c r="J24" s="33"/>
      <c r="K24" s="34">
        <f>J24*F24</f>
        <v>0</v>
      </c>
      <c r="L24" s="35"/>
    </row>
    <row r="25" spans="1:12" s="37" customFormat="1" x14ac:dyDescent="0.25">
      <c r="A25" s="30" t="str">
        <f>IF(F25&lt;&gt;"",1+MAX($A$7:A24),"")</f>
        <v/>
      </c>
      <c r="B25" s="31"/>
      <c r="C25" s="38" t="s">
        <v>24</v>
      </c>
      <c r="D25" s="39"/>
      <c r="E25" s="28"/>
      <c r="F25" s="32"/>
      <c r="G25" s="29"/>
      <c r="H25" s="29"/>
      <c r="I25" s="29"/>
      <c r="J25" s="33"/>
      <c r="K25" s="34"/>
      <c r="L25" s="35"/>
    </row>
    <row r="26" spans="1:12" s="37" customFormat="1" x14ac:dyDescent="0.25">
      <c r="A26" s="30">
        <f>IF(F26&lt;&gt;"",1+MAX($A$7:A25),"")</f>
        <v>16</v>
      </c>
      <c r="B26" s="31"/>
      <c r="C26" s="44" t="s">
        <v>30</v>
      </c>
      <c r="D26" s="39">
        <v>1</v>
      </c>
      <c r="E26" s="28">
        <v>0</v>
      </c>
      <c r="F26" s="32">
        <f>D26*(1+E26)</f>
        <v>1</v>
      </c>
      <c r="G26" s="29" t="s">
        <v>13</v>
      </c>
      <c r="H26" s="29"/>
      <c r="I26" s="29"/>
      <c r="J26" s="33"/>
      <c r="K26" s="34">
        <f>J26*F26</f>
        <v>0</v>
      </c>
      <c r="L26" s="35"/>
    </row>
    <row r="27" spans="1:12" s="6" customFormat="1" ht="15.75" thickBot="1" x14ac:dyDescent="0.3">
      <c r="A27" s="30" t="str">
        <f>IF(F27&lt;&gt;"",1+MAX($A$7:A26),"")</f>
        <v/>
      </c>
      <c r="B27" s="11"/>
      <c r="C27" s="42"/>
      <c r="D27" s="92"/>
      <c r="E27" s="3"/>
      <c r="F27" s="1"/>
      <c r="G27" s="4"/>
      <c r="H27" s="4"/>
      <c r="I27" s="4"/>
      <c r="J27" s="24"/>
      <c r="K27" s="20"/>
      <c r="L27" s="5"/>
    </row>
    <row r="28" spans="1:12" ht="15.75" thickBot="1" x14ac:dyDescent="0.25">
      <c r="A28" s="19"/>
      <c r="B28" s="7" t="s">
        <v>33</v>
      </c>
      <c r="C28" s="43" t="s">
        <v>31</v>
      </c>
      <c r="D28" s="93"/>
      <c r="E28" s="8"/>
      <c r="F28" s="8"/>
      <c r="G28" s="7"/>
      <c r="H28" s="7"/>
      <c r="I28" s="7"/>
      <c r="J28" s="25"/>
      <c r="K28" s="21"/>
      <c r="L28" s="9">
        <f>SUM(K29:K308)</f>
        <v>0</v>
      </c>
    </row>
    <row r="29" spans="1:12" s="6" customFormat="1" x14ac:dyDescent="0.25">
      <c r="A29" s="30" t="str">
        <f>IF(F29&lt;&gt;"",1+MAX($A$7:A28),"")</f>
        <v/>
      </c>
      <c r="B29" s="11"/>
      <c r="C29" s="42"/>
      <c r="D29" s="92"/>
      <c r="E29" s="3"/>
      <c r="F29" s="1"/>
      <c r="G29" s="4"/>
      <c r="H29" s="4"/>
      <c r="I29" s="4"/>
      <c r="J29" s="24"/>
      <c r="K29" s="20"/>
      <c r="L29" s="5"/>
    </row>
    <row r="30" spans="1:12" s="6" customFormat="1" x14ac:dyDescent="0.25">
      <c r="A30" s="30" t="str">
        <f>IF(F30&lt;&gt;"",1+MAX($A$7:A29),"")</f>
        <v/>
      </c>
      <c r="B30" s="11"/>
      <c r="C30" s="40" t="s">
        <v>43</v>
      </c>
      <c r="D30" s="92"/>
      <c r="E30" s="3"/>
      <c r="F30" s="1"/>
      <c r="G30" s="4"/>
      <c r="H30" s="4"/>
      <c r="I30" s="4"/>
      <c r="J30" s="24"/>
      <c r="K30" s="20"/>
      <c r="L30" s="5"/>
    </row>
    <row r="31" spans="1:12" s="6" customFormat="1" x14ac:dyDescent="0.25">
      <c r="A31" s="30">
        <f>IF(F31&lt;&gt;"",1+MAX($A$7:A30),"")</f>
        <v>17</v>
      </c>
      <c r="B31" s="11"/>
      <c r="C31" s="118" t="s">
        <v>112</v>
      </c>
      <c r="D31" s="41">
        <v>3175</v>
      </c>
      <c r="E31" s="28">
        <v>0</v>
      </c>
      <c r="F31" s="32">
        <f t="shared" ref="F31:F32" si="2">D31*(1+E31)</f>
        <v>3175</v>
      </c>
      <c r="G31" s="29" t="s">
        <v>40</v>
      </c>
      <c r="H31" s="29"/>
      <c r="I31" s="29"/>
      <c r="J31" s="33"/>
      <c r="K31" s="34">
        <f t="shared" ref="K31:K32" si="3">J31*F31</f>
        <v>0</v>
      </c>
      <c r="L31" s="5"/>
    </row>
    <row r="32" spans="1:12" s="37" customFormat="1" x14ac:dyDescent="0.25">
      <c r="A32" s="30">
        <f>IF(F32&lt;&gt;"",1+MAX($A$7:A31),"")</f>
        <v>18</v>
      </c>
      <c r="B32" s="31"/>
      <c r="C32" s="118" t="s">
        <v>113</v>
      </c>
      <c r="D32" s="41">
        <v>255</v>
      </c>
      <c r="E32" s="28">
        <v>0</v>
      </c>
      <c r="F32" s="32">
        <f t="shared" si="2"/>
        <v>255</v>
      </c>
      <c r="G32" s="29" t="s">
        <v>40</v>
      </c>
      <c r="H32" s="29"/>
      <c r="I32" s="29"/>
      <c r="J32" s="33"/>
      <c r="K32" s="34">
        <f t="shared" si="3"/>
        <v>0</v>
      </c>
      <c r="L32" s="35"/>
    </row>
    <row r="33" spans="1:12" s="37" customFormat="1" x14ac:dyDescent="0.25">
      <c r="A33" s="30">
        <f>IF(F33&lt;&gt;"",1+MAX($A$7:A32),"")</f>
        <v>19</v>
      </c>
      <c r="B33" s="31"/>
      <c r="C33" s="118" t="s">
        <v>114</v>
      </c>
      <c r="D33" s="41">
        <v>315</v>
      </c>
      <c r="E33" s="28">
        <v>0</v>
      </c>
      <c r="F33" s="32">
        <f t="shared" ref="F33" si="4">D33*(1+E33)</f>
        <v>315</v>
      </c>
      <c r="G33" s="29" t="s">
        <v>40</v>
      </c>
      <c r="H33" s="29"/>
      <c r="I33" s="29"/>
      <c r="J33" s="33"/>
      <c r="K33" s="34">
        <f t="shared" ref="K33" si="5">J33*F33</f>
        <v>0</v>
      </c>
      <c r="L33" s="35"/>
    </row>
    <row r="34" spans="1:12" s="37" customFormat="1" x14ac:dyDescent="0.25">
      <c r="A34" s="30">
        <f>IF(F34&lt;&gt;"",1+MAX($A$7:A33),"")</f>
        <v>20</v>
      </c>
      <c r="B34" s="31"/>
      <c r="C34" s="118" t="s">
        <v>115</v>
      </c>
      <c r="D34" s="41">
        <v>7610</v>
      </c>
      <c r="E34" s="28">
        <v>0</v>
      </c>
      <c r="F34" s="32">
        <f t="shared" ref="F34" si="6">D34*(1+E34)</f>
        <v>7610</v>
      </c>
      <c r="G34" s="29" t="s">
        <v>42</v>
      </c>
      <c r="H34" s="29"/>
      <c r="I34" s="29"/>
      <c r="J34" s="33"/>
      <c r="K34" s="34">
        <f t="shared" ref="K34" si="7">J34*F34</f>
        <v>0</v>
      </c>
      <c r="L34" s="35"/>
    </row>
    <row r="35" spans="1:12" s="37" customFormat="1" x14ac:dyDescent="0.25">
      <c r="A35" s="30">
        <f>IF(F35&lt;&gt;"",1+MAX($A$7:A34),"")</f>
        <v>21</v>
      </c>
      <c r="B35" s="31"/>
      <c r="C35" s="118" t="s">
        <v>116</v>
      </c>
      <c r="D35" s="41">
        <v>1020</v>
      </c>
      <c r="E35" s="28">
        <v>0</v>
      </c>
      <c r="F35" s="32">
        <f t="shared" ref="F35" si="8">D35*(1+E35)</f>
        <v>1020</v>
      </c>
      <c r="G35" s="29" t="s">
        <v>42</v>
      </c>
      <c r="H35" s="29"/>
      <c r="I35" s="29"/>
      <c r="J35" s="33"/>
      <c r="K35" s="34">
        <f t="shared" ref="K35" si="9">J35*F35</f>
        <v>0</v>
      </c>
      <c r="L35" s="35"/>
    </row>
    <row r="36" spans="1:12" s="37" customFormat="1" x14ac:dyDescent="0.25">
      <c r="A36" s="30">
        <f>IF(F36&lt;&gt;"",1+MAX($A$7:A35),"")</f>
        <v>22</v>
      </c>
      <c r="B36" s="31"/>
      <c r="C36" s="118" t="s">
        <v>117</v>
      </c>
      <c r="D36" s="41">
        <v>2960</v>
      </c>
      <c r="E36" s="28">
        <v>0</v>
      </c>
      <c r="F36" s="32">
        <f t="shared" ref="F36" si="10">D36*(1+E36)</f>
        <v>2960</v>
      </c>
      <c r="G36" s="29" t="s">
        <v>42</v>
      </c>
      <c r="H36" s="29"/>
      <c r="I36" s="29"/>
      <c r="J36" s="33"/>
      <c r="K36" s="34">
        <f t="shared" ref="K36" si="11">J36*F36</f>
        <v>0</v>
      </c>
      <c r="L36" s="35"/>
    </row>
    <row r="37" spans="1:12" s="37" customFormat="1" x14ac:dyDescent="0.25">
      <c r="A37" s="30">
        <f>IF(F37&lt;&gt;"",1+MAX($A$7:A36),"")</f>
        <v>23</v>
      </c>
      <c r="B37" s="31"/>
      <c r="C37" s="118" t="s">
        <v>118</v>
      </c>
      <c r="D37" s="41">
        <v>1740</v>
      </c>
      <c r="E37" s="28">
        <v>0</v>
      </c>
      <c r="F37" s="32">
        <f t="shared" ref="F37" si="12">D37*(1+E37)</f>
        <v>1740</v>
      </c>
      <c r="G37" s="29" t="s">
        <v>42</v>
      </c>
      <c r="H37" s="29"/>
      <c r="I37" s="29"/>
      <c r="J37" s="33"/>
      <c r="K37" s="34">
        <f t="shared" ref="K37" si="13">J37*F37</f>
        <v>0</v>
      </c>
      <c r="L37" s="35"/>
    </row>
    <row r="38" spans="1:12" s="37" customFormat="1" x14ac:dyDescent="0.25">
      <c r="A38" s="30">
        <f>IF(F38&lt;&gt;"",1+MAX($A$7:A37),"")</f>
        <v>24</v>
      </c>
      <c r="B38" s="31"/>
      <c r="C38" s="118" t="s">
        <v>119</v>
      </c>
      <c r="D38" s="41">
        <v>1040</v>
      </c>
      <c r="E38" s="28">
        <v>0</v>
      </c>
      <c r="F38" s="32">
        <f t="shared" ref="F38" si="14">D38*(1+E38)</f>
        <v>1040</v>
      </c>
      <c r="G38" s="29" t="s">
        <v>42</v>
      </c>
      <c r="H38" s="29"/>
      <c r="I38" s="29"/>
      <c r="J38" s="33"/>
      <c r="K38" s="34">
        <f t="shared" ref="K38" si="15">J38*F38</f>
        <v>0</v>
      </c>
      <c r="L38" s="35"/>
    </row>
    <row r="39" spans="1:12" s="37" customFormat="1" x14ac:dyDescent="0.25">
      <c r="A39" s="30">
        <f>IF(F39&lt;&gt;"",1+MAX($A$7:A38),"")</f>
        <v>25</v>
      </c>
      <c r="B39" s="31"/>
      <c r="C39" s="118" t="s">
        <v>120</v>
      </c>
      <c r="D39" s="41">
        <v>1045</v>
      </c>
      <c r="E39" s="28">
        <v>0</v>
      </c>
      <c r="F39" s="32">
        <f t="shared" ref="F39" si="16">D39*(1+E39)</f>
        <v>1045</v>
      </c>
      <c r="G39" s="29" t="s">
        <v>42</v>
      </c>
      <c r="H39" s="29"/>
      <c r="I39" s="29"/>
      <c r="J39" s="33"/>
      <c r="K39" s="34">
        <f t="shared" ref="K39" si="17">J39*F39</f>
        <v>0</v>
      </c>
      <c r="L39" s="35"/>
    </row>
    <row r="40" spans="1:12" s="37" customFormat="1" x14ac:dyDescent="0.25">
      <c r="A40" s="30">
        <f>IF(F40&lt;&gt;"",1+MAX($A$7:A39),"")</f>
        <v>26</v>
      </c>
      <c r="B40" s="31"/>
      <c r="C40" s="118" t="s">
        <v>121</v>
      </c>
      <c r="D40" s="41">
        <v>7730</v>
      </c>
      <c r="E40" s="28">
        <v>0</v>
      </c>
      <c r="F40" s="32">
        <f t="shared" ref="F40:F42" si="18">D40*(1+E40)</f>
        <v>7730</v>
      </c>
      <c r="G40" s="29" t="s">
        <v>42</v>
      </c>
      <c r="H40" s="29"/>
      <c r="I40" s="29"/>
      <c r="J40" s="33"/>
      <c r="K40" s="34">
        <f t="shared" ref="K40:K42" si="19">J40*F40</f>
        <v>0</v>
      </c>
      <c r="L40" s="35"/>
    </row>
    <row r="41" spans="1:12" s="37" customFormat="1" x14ac:dyDescent="0.25">
      <c r="A41" s="30">
        <f>IF(F41&lt;&gt;"",1+MAX($A$7:A40),"")</f>
        <v>27</v>
      </c>
      <c r="B41" s="31"/>
      <c r="C41" s="118" t="s">
        <v>122</v>
      </c>
      <c r="D41" s="41">
        <v>15280</v>
      </c>
      <c r="E41" s="28">
        <v>0</v>
      </c>
      <c r="F41" s="32">
        <f t="shared" si="18"/>
        <v>15280</v>
      </c>
      <c r="G41" s="29" t="s">
        <v>42</v>
      </c>
      <c r="H41" s="29"/>
      <c r="I41" s="29"/>
      <c r="J41" s="33"/>
      <c r="K41" s="34">
        <f t="shared" si="19"/>
        <v>0</v>
      </c>
      <c r="L41" s="35"/>
    </row>
    <row r="42" spans="1:12" s="37" customFormat="1" x14ac:dyDescent="0.25">
      <c r="A42" s="30">
        <f>IF(F42&lt;&gt;"",1+MAX($A$7:A41),"")</f>
        <v>28</v>
      </c>
      <c r="B42" s="31"/>
      <c r="C42" s="118" t="s">
        <v>123</v>
      </c>
      <c r="D42" s="41">
        <v>4</v>
      </c>
      <c r="E42" s="28">
        <v>0</v>
      </c>
      <c r="F42" s="32">
        <f t="shared" si="18"/>
        <v>4</v>
      </c>
      <c r="G42" s="29" t="s">
        <v>41</v>
      </c>
      <c r="H42" s="29"/>
      <c r="I42" s="29"/>
      <c r="J42" s="33"/>
      <c r="K42" s="34">
        <f t="shared" si="19"/>
        <v>0</v>
      </c>
      <c r="L42" s="35"/>
    </row>
    <row r="43" spans="1:12" s="37" customFormat="1" x14ac:dyDescent="0.25">
      <c r="A43" s="30" t="str">
        <f>IF(F43&lt;&gt;"",1+MAX($A$7:A42),"")</f>
        <v/>
      </c>
      <c r="B43" s="31"/>
      <c r="C43" s="118"/>
      <c r="D43" s="41"/>
      <c r="E43" s="28"/>
      <c r="F43" s="32"/>
      <c r="G43" s="29"/>
      <c r="H43" s="29"/>
      <c r="I43" s="29"/>
      <c r="J43" s="33"/>
      <c r="K43" s="34"/>
      <c r="L43" s="35"/>
    </row>
    <row r="44" spans="1:12" s="6" customFormat="1" x14ac:dyDescent="0.25">
      <c r="A44" s="30" t="str">
        <f>IF(F44&lt;&gt;"",1+MAX($A$7:A43),"")</f>
        <v/>
      </c>
      <c r="B44" s="11"/>
      <c r="C44" s="119" t="s">
        <v>148</v>
      </c>
      <c r="D44" s="92"/>
      <c r="E44" s="3"/>
      <c r="F44" s="1"/>
      <c r="G44" s="4"/>
      <c r="H44" s="4"/>
      <c r="I44" s="4"/>
      <c r="J44" s="24"/>
      <c r="K44" s="20"/>
      <c r="L44" s="5"/>
    </row>
    <row r="45" spans="1:12" s="6" customFormat="1" x14ac:dyDescent="0.25">
      <c r="A45" s="30">
        <f>IF(F45&lt;&gt;"",1+MAX($A$7:A44),"")</f>
        <v>29</v>
      </c>
      <c r="B45" s="11"/>
      <c r="C45" s="118" t="s">
        <v>273</v>
      </c>
      <c r="D45" s="41">
        <v>700</v>
      </c>
      <c r="E45" s="28">
        <v>0.1</v>
      </c>
      <c r="F45" s="32">
        <f t="shared" ref="F45:F46" si="20">D45*(1+E45)</f>
        <v>770.00000000000011</v>
      </c>
      <c r="G45" s="29" t="s">
        <v>42</v>
      </c>
      <c r="H45" s="29"/>
      <c r="I45" s="29"/>
      <c r="J45" s="33"/>
      <c r="K45" s="34">
        <f t="shared" ref="K45:K46" si="21">J45*F45</f>
        <v>0</v>
      </c>
      <c r="L45" s="5"/>
    </row>
    <row r="46" spans="1:12" s="37" customFormat="1" x14ac:dyDescent="0.25">
      <c r="A46" s="30">
        <f>IF(F46&lt;&gt;"",1+MAX($A$7:A45),"")</f>
        <v>30</v>
      </c>
      <c r="B46" s="31"/>
      <c r="C46" s="118" t="s">
        <v>99</v>
      </c>
      <c r="D46" s="41">
        <v>1075</v>
      </c>
      <c r="E46" s="28">
        <v>0.1</v>
      </c>
      <c r="F46" s="32">
        <f t="shared" si="20"/>
        <v>1182.5</v>
      </c>
      <c r="G46" s="29" t="s">
        <v>42</v>
      </c>
      <c r="H46" s="29"/>
      <c r="I46" s="29"/>
      <c r="J46" s="33"/>
      <c r="K46" s="34">
        <f t="shared" si="21"/>
        <v>0</v>
      </c>
      <c r="L46" s="35"/>
    </row>
    <row r="47" spans="1:12" s="37" customFormat="1" x14ac:dyDescent="0.25">
      <c r="A47" s="30">
        <f>IF(F47&lt;&gt;"",1+MAX($A$7:A46),"")</f>
        <v>31</v>
      </c>
      <c r="B47" s="31"/>
      <c r="C47" s="118" t="s">
        <v>151</v>
      </c>
      <c r="D47" s="41">
        <v>120</v>
      </c>
      <c r="E47" s="28">
        <v>0.1</v>
      </c>
      <c r="F47" s="32">
        <f t="shared" ref="F47" si="22">D47*(1+E47)</f>
        <v>132</v>
      </c>
      <c r="G47" s="29" t="s">
        <v>42</v>
      </c>
      <c r="H47" s="29"/>
      <c r="I47" s="29"/>
      <c r="J47" s="33"/>
      <c r="K47" s="34">
        <f t="shared" ref="K47" si="23">J47*F47</f>
        <v>0</v>
      </c>
      <c r="L47" s="35"/>
    </row>
    <row r="48" spans="1:12" s="37" customFormat="1" x14ac:dyDescent="0.25">
      <c r="A48" s="30">
        <f>IF(F48&lt;&gt;"",1+MAX($A$7:A47),"")</f>
        <v>32</v>
      </c>
      <c r="B48" s="31"/>
      <c r="C48" s="118" t="s">
        <v>152</v>
      </c>
      <c r="D48" s="41">
        <v>2615</v>
      </c>
      <c r="E48" s="28">
        <v>0.1</v>
      </c>
      <c r="F48" s="32">
        <f t="shared" ref="F48:F49" si="24">D48*(1+E48)</f>
        <v>2876.5000000000005</v>
      </c>
      <c r="G48" s="29" t="s">
        <v>42</v>
      </c>
      <c r="H48" s="29"/>
      <c r="I48" s="29"/>
      <c r="J48" s="33"/>
      <c r="K48" s="34">
        <f t="shared" ref="K48:K49" si="25">J48*F48</f>
        <v>0</v>
      </c>
      <c r="L48" s="35"/>
    </row>
    <row r="49" spans="1:12" s="37" customFormat="1" x14ac:dyDescent="0.25">
      <c r="A49" s="30">
        <f>IF(F49&lt;&gt;"",1+MAX($A$7:A48),"")</f>
        <v>33</v>
      </c>
      <c r="B49" s="31"/>
      <c r="C49" s="118" t="s">
        <v>55</v>
      </c>
      <c r="D49" s="41">
        <v>2815</v>
      </c>
      <c r="E49" s="28">
        <v>0.1</v>
      </c>
      <c r="F49" s="32">
        <f t="shared" si="24"/>
        <v>3096.5000000000005</v>
      </c>
      <c r="G49" s="29" t="s">
        <v>40</v>
      </c>
      <c r="H49" s="29"/>
      <c r="I49" s="29"/>
      <c r="J49" s="33"/>
      <c r="K49" s="34">
        <f t="shared" si="25"/>
        <v>0</v>
      </c>
      <c r="L49" s="35"/>
    </row>
    <row r="50" spans="1:12" s="37" customFormat="1" x14ac:dyDescent="0.25">
      <c r="A50" s="30">
        <f>IF(F50&lt;&gt;"",1+MAX($A$7:A49),"")</f>
        <v>34</v>
      </c>
      <c r="B50" s="31"/>
      <c r="C50" s="118" t="s">
        <v>153</v>
      </c>
      <c r="D50" s="41">
        <v>115</v>
      </c>
      <c r="E50" s="28">
        <v>0.1</v>
      </c>
      <c r="F50" s="32">
        <f t="shared" ref="F50" si="26">D50*(1+E50)</f>
        <v>126.50000000000001</v>
      </c>
      <c r="G50" s="29" t="s">
        <v>40</v>
      </c>
      <c r="H50" s="29"/>
      <c r="I50" s="29"/>
      <c r="J50" s="33"/>
      <c r="K50" s="34">
        <f t="shared" ref="K50" si="27">J50*F50</f>
        <v>0</v>
      </c>
      <c r="L50" s="35"/>
    </row>
    <row r="51" spans="1:12" s="37" customFormat="1" x14ac:dyDescent="0.25">
      <c r="A51" s="30">
        <f>IF(F51&lt;&gt;"",1+MAX($A$7:A50),"")</f>
        <v>35</v>
      </c>
      <c r="B51" s="31"/>
      <c r="C51" s="118" t="s">
        <v>154</v>
      </c>
      <c r="D51" s="41">
        <v>35</v>
      </c>
      <c r="E51" s="28">
        <v>0.1</v>
      </c>
      <c r="F51" s="32">
        <f t="shared" ref="F51" si="28">D51*(1+E51)</f>
        <v>38.5</v>
      </c>
      <c r="G51" s="29" t="s">
        <v>40</v>
      </c>
      <c r="H51" s="29"/>
      <c r="I51" s="29"/>
      <c r="J51" s="33"/>
      <c r="K51" s="34">
        <f t="shared" ref="K51" si="29">J51*F51</f>
        <v>0</v>
      </c>
      <c r="L51" s="35"/>
    </row>
    <row r="52" spans="1:12" s="37" customFormat="1" x14ac:dyDescent="0.25">
      <c r="A52" s="30">
        <f>IF(F52&lt;&gt;"",1+MAX($A$7:A51),"")</f>
        <v>36</v>
      </c>
      <c r="B52" s="31"/>
      <c r="C52" s="118" t="s">
        <v>155</v>
      </c>
      <c r="D52" s="41">
        <v>1360</v>
      </c>
      <c r="E52" s="28">
        <v>0.1</v>
      </c>
      <c r="F52" s="32">
        <f t="shared" ref="F52" si="30">D52*(1+E52)</f>
        <v>1496.0000000000002</v>
      </c>
      <c r="G52" s="29" t="s">
        <v>40</v>
      </c>
      <c r="H52" s="29"/>
      <c r="I52" s="29"/>
      <c r="J52" s="33"/>
      <c r="K52" s="34">
        <f t="shared" ref="K52" si="31">J52*F52</f>
        <v>0</v>
      </c>
      <c r="L52" s="35"/>
    </row>
    <row r="53" spans="1:12" s="37" customFormat="1" x14ac:dyDescent="0.25">
      <c r="A53" s="30" t="str">
        <f>IF(F53&lt;&gt;"",1+MAX($A$7:A52),"")</f>
        <v/>
      </c>
      <c r="B53" s="31"/>
      <c r="C53" s="118"/>
      <c r="D53" s="41"/>
      <c r="E53" s="28"/>
      <c r="F53" s="32"/>
      <c r="G53" s="29"/>
      <c r="H53" s="29"/>
      <c r="I53" s="29"/>
      <c r="J53" s="33"/>
      <c r="K53" s="34"/>
      <c r="L53" s="35"/>
    </row>
    <row r="54" spans="1:12" s="6" customFormat="1" x14ac:dyDescent="0.25">
      <c r="A54" s="30" t="str">
        <f>IF(F54&lt;&gt;"",1+MAX($A$7:A53),"")</f>
        <v/>
      </c>
      <c r="B54" s="11"/>
      <c r="C54" s="119" t="s">
        <v>149</v>
      </c>
      <c r="D54" s="92"/>
      <c r="E54" s="3"/>
      <c r="F54" s="1"/>
      <c r="G54" s="4"/>
      <c r="H54" s="4"/>
      <c r="I54" s="4"/>
      <c r="J54" s="24"/>
      <c r="K54" s="20"/>
      <c r="L54" s="5"/>
    </row>
    <row r="55" spans="1:12" s="6" customFormat="1" x14ac:dyDescent="0.25">
      <c r="A55" s="30">
        <f>IF(F55&lt;&gt;"",1+MAX($A$7:A54),"")</f>
        <v>37</v>
      </c>
      <c r="B55" s="11"/>
      <c r="C55" s="118" t="s">
        <v>150</v>
      </c>
      <c r="D55" s="41">
        <v>36</v>
      </c>
      <c r="E55" s="28">
        <v>0</v>
      </c>
      <c r="F55" s="32">
        <f t="shared" ref="F55" si="32">D55*(1+E55)</f>
        <v>36</v>
      </c>
      <c r="G55" s="29" t="s">
        <v>41</v>
      </c>
      <c r="H55" s="29"/>
      <c r="I55" s="29"/>
      <c r="J55" s="33"/>
      <c r="K55" s="34">
        <f t="shared" ref="K55" si="33">J55*F55</f>
        <v>0</v>
      </c>
      <c r="L55" s="5"/>
    </row>
    <row r="56" spans="1:12" s="37" customFormat="1" x14ac:dyDescent="0.25">
      <c r="A56" s="30" t="str">
        <f>IF(F56&lt;&gt;"",1+MAX($A$7:A55),"")</f>
        <v/>
      </c>
      <c r="B56" s="31"/>
      <c r="D56" s="41"/>
      <c r="E56" s="28"/>
      <c r="F56" s="32"/>
      <c r="G56" s="29"/>
      <c r="H56" s="29"/>
      <c r="I56" s="29"/>
      <c r="J56" s="33"/>
      <c r="K56" s="34"/>
      <c r="L56" s="35"/>
    </row>
    <row r="57" spans="1:12" s="6" customFormat="1" x14ac:dyDescent="0.25">
      <c r="A57" s="30" t="str">
        <f>IF(F57&lt;&gt;"",1+MAX($A$7:A56),"")</f>
        <v/>
      </c>
      <c r="B57" s="11"/>
      <c r="C57" s="40" t="s">
        <v>44</v>
      </c>
      <c r="D57" s="92"/>
      <c r="E57" s="3"/>
      <c r="F57" s="1"/>
      <c r="G57" s="4"/>
      <c r="H57" s="4"/>
      <c r="I57" s="4"/>
      <c r="J57" s="24"/>
      <c r="K57" s="20"/>
      <c r="L57" s="5"/>
    </row>
    <row r="58" spans="1:12" s="6" customFormat="1" x14ac:dyDescent="0.25">
      <c r="A58" s="30" t="str">
        <f>IF(F58&lt;&gt;"",1+MAX($A$7:A57),"")</f>
        <v/>
      </c>
      <c r="B58" s="11"/>
      <c r="C58" s="40" t="s">
        <v>57</v>
      </c>
      <c r="D58" s="92"/>
      <c r="E58" s="3"/>
      <c r="F58" s="1"/>
      <c r="G58" s="4"/>
      <c r="H58" s="4"/>
      <c r="I58" s="4"/>
      <c r="J58" s="24"/>
      <c r="K58" s="20"/>
      <c r="L58" s="5"/>
    </row>
    <row r="59" spans="1:12" s="6" customFormat="1" x14ac:dyDescent="0.25">
      <c r="A59" s="30">
        <f>IF(F59&lt;&gt;"",1+MAX($A$7:A58),"")</f>
        <v>38</v>
      </c>
      <c r="B59" s="11"/>
      <c r="C59" s="37" t="s">
        <v>250</v>
      </c>
      <c r="D59" s="41">
        <v>470</v>
      </c>
      <c r="E59" s="28">
        <v>0.1</v>
      </c>
      <c r="F59" s="32">
        <f t="shared" ref="F59:F60" si="34">D59*(1+E59)</f>
        <v>517</v>
      </c>
      <c r="G59" s="29" t="s">
        <v>40</v>
      </c>
      <c r="H59" s="29"/>
      <c r="I59" s="29"/>
      <c r="J59" s="33"/>
      <c r="K59" s="34">
        <f t="shared" ref="K59:K60" si="35">J59*F59</f>
        <v>0</v>
      </c>
      <c r="L59" s="5"/>
    </row>
    <row r="60" spans="1:12" s="37" customFormat="1" x14ac:dyDescent="0.25">
      <c r="A60" s="30">
        <f>IF(F60&lt;&gt;"",1+MAX($A$7:A59),"")</f>
        <v>39</v>
      </c>
      <c r="B60" s="31"/>
      <c r="C60" s="37" t="s">
        <v>251</v>
      </c>
      <c r="D60" s="41">
        <v>2350</v>
      </c>
      <c r="E60" s="28">
        <v>0.1</v>
      </c>
      <c r="F60" s="32">
        <f t="shared" si="34"/>
        <v>2585</v>
      </c>
      <c r="G60" s="29" t="s">
        <v>40</v>
      </c>
      <c r="H60" s="29"/>
      <c r="I60" s="29"/>
      <c r="J60" s="33"/>
      <c r="K60" s="34">
        <f t="shared" si="35"/>
        <v>0</v>
      </c>
      <c r="L60" s="35"/>
    </row>
    <row r="61" spans="1:12" s="37" customFormat="1" x14ac:dyDescent="0.25">
      <c r="A61" s="30">
        <f>IF(F61&lt;&gt;"",1+MAX($A$7:A60),"")</f>
        <v>40</v>
      </c>
      <c r="B61" s="31"/>
      <c r="C61" s="37" t="s">
        <v>252</v>
      </c>
      <c r="D61" s="41">
        <v>230</v>
      </c>
      <c r="E61" s="28">
        <v>0.1</v>
      </c>
      <c r="F61" s="32">
        <f t="shared" ref="F61" si="36">D61*(1+E61)</f>
        <v>253.00000000000003</v>
      </c>
      <c r="G61" s="29" t="s">
        <v>42</v>
      </c>
      <c r="H61" s="29"/>
      <c r="I61" s="29"/>
      <c r="J61" s="33"/>
      <c r="K61" s="34">
        <f t="shared" ref="K61" si="37">J61*F61</f>
        <v>0</v>
      </c>
      <c r="L61" s="35"/>
    </row>
    <row r="62" spans="1:12" s="37" customFormat="1" x14ac:dyDescent="0.25">
      <c r="A62" s="30" t="str">
        <f>IF(F62&lt;&gt;"",1+MAX($A$7:A61),"")</f>
        <v/>
      </c>
      <c r="B62" s="31"/>
      <c r="D62" s="41"/>
      <c r="E62" s="28"/>
      <c r="F62" s="32"/>
      <c r="G62" s="29"/>
      <c r="H62" s="29"/>
      <c r="I62" s="29"/>
      <c r="J62" s="33"/>
      <c r="K62" s="34"/>
      <c r="L62" s="35"/>
    </row>
    <row r="63" spans="1:12" s="6" customFormat="1" x14ac:dyDescent="0.25">
      <c r="A63" s="30" t="str">
        <f>IF(F63&lt;&gt;"",1+MAX($A$7:A62),"")</f>
        <v/>
      </c>
      <c r="B63" s="11"/>
      <c r="C63" s="91" t="s">
        <v>109</v>
      </c>
      <c r="D63" s="41"/>
      <c r="E63" s="28"/>
      <c r="F63" s="32"/>
      <c r="G63" s="29"/>
      <c r="H63" s="29"/>
      <c r="I63" s="29"/>
      <c r="J63" s="33"/>
      <c r="K63" s="34"/>
      <c r="L63" s="5"/>
    </row>
    <row r="64" spans="1:12" s="37" customFormat="1" x14ac:dyDescent="0.25">
      <c r="A64" s="30">
        <f>IF(F64&lt;&gt;"",1+MAX($A$7:A63),"")</f>
        <v>41</v>
      </c>
      <c r="B64" s="31"/>
      <c r="C64" s="118" t="s">
        <v>108</v>
      </c>
      <c r="D64" s="41">
        <v>8</v>
      </c>
      <c r="E64" s="28">
        <v>0</v>
      </c>
      <c r="F64" s="32">
        <f>D64*(1+E64)</f>
        <v>8</v>
      </c>
      <c r="G64" s="29" t="s">
        <v>41</v>
      </c>
      <c r="H64" s="29"/>
      <c r="I64" s="29"/>
      <c r="J64" s="33"/>
      <c r="K64" s="34">
        <f>J64*F64</f>
        <v>0</v>
      </c>
      <c r="L64" s="35"/>
    </row>
    <row r="65" spans="1:12" s="37" customFormat="1" x14ac:dyDescent="0.25">
      <c r="A65" s="30">
        <f>IF(F65&lt;&gt;"",1+MAX($A$7:A64),"")</f>
        <v>42</v>
      </c>
      <c r="B65" s="31"/>
      <c r="C65" s="118" t="s">
        <v>82</v>
      </c>
      <c r="D65" s="41">
        <f>1.5*1.5*2*8/27</f>
        <v>1.3333333333333333</v>
      </c>
      <c r="E65" s="28">
        <v>0.1</v>
      </c>
      <c r="F65" s="32">
        <f t="shared" ref="F65:F68" si="38">D65*(1+E65)</f>
        <v>1.4666666666666668</v>
      </c>
      <c r="G65" s="29" t="s">
        <v>48</v>
      </c>
      <c r="H65" s="29"/>
      <c r="I65" s="29"/>
      <c r="J65" s="33"/>
      <c r="K65" s="34">
        <f t="shared" ref="K65:K68" si="39">J65*F65</f>
        <v>0</v>
      </c>
      <c r="L65" s="35"/>
    </row>
    <row r="66" spans="1:12" s="37" customFormat="1" x14ac:dyDescent="0.25">
      <c r="A66" s="30">
        <f>IF(F66&lt;&gt;"",1+MAX($A$7:A65),"")</f>
        <v>43</v>
      </c>
      <c r="B66" s="31"/>
      <c r="C66" s="118" t="s">
        <v>71</v>
      </c>
      <c r="D66" s="41">
        <f>4*1.5*2*8</f>
        <v>96</v>
      </c>
      <c r="E66" s="28">
        <v>0.1</v>
      </c>
      <c r="F66" s="32">
        <f t="shared" si="38"/>
        <v>105.60000000000001</v>
      </c>
      <c r="G66" s="29" t="s">
        <v>74</v>
      </c>
      <c r="H66" s="29"/>
      <c r="I66" s="29"/>
      <c r="J66" s="33"/>
      <c r="K66" s="34">
        <f t="shared" si="39"/>
        <v>0</v>
      </c>
      <c r="L66" s="35"/>
    </row>
    <row r="67" spans="1:12" s="37" customFormat="1" x14ac:dyDescent="0.25">
      <c r="A67" s="30">
        <f>IF(F67&lt;&gt;"",1+MAX($A$7:A66),"")</f>
        <v>44</v>
      </c>
      <c r="B67" s="31"/>
      <c r="C67" s="118" t="s">
        <v>72</v>
      </c>
      <c r="D67" s="41">
        <f>2.5*2.5*2*8/27</f>
        <v>3.7037037037037037</v>
      </c>
      <c r="E67" s="28">
        <v>0.1</v>
      </c>
      <c r="F67" s="32">
        <f t="shared" si="38"/>
        <v>4.0740740740740744</v>
      </c>
      <c r="G67" s="29" t="s">
        <v>48</v>
      </c>
      <c r="H67" s="29"/>
      <c r="I67" s="29"/>
      <c r="J67" s="33"/>
      <c r="K67" s="34">
        <f t="shared" si="39"/>
        <v>0</v>
      </c>
      <c r="L67" s="35"/>
    </row>
    <row r="68" spans="1:12" s="37" customFormat="1" x14ac:dyDescent="0.25">
      <c r="A68" s="30">
        <f>IF(F68&lt;&gt;"",1+MAX($A$7:A67),"")</f>
        <v>45</v>
      </c>
      <c r="B68" s="31"/>
      <c r="C68" s="118" t="s">
        <v>73</v>
      </c>
      <c r="D68" s="41">
        <f>D67-D65</f>
        <v>2.3703703703703702</v>
      </c>
      <c r="E68" s="28">
        <v>0.1</v>
      </c>
      <c r="F68" s="32">
        <f t="shared" si="38"/>
        <v>2.6074074074074076</v>
      </c>
      <c r="G68" s="29" t="s">
        <v>48</v>
      </c>
      <c r="H68" s="29"/>
      <c r="I68" s="29"/>
      <c r="J68" s="33"/>
      <c r="K68" s="34">
        <f t="shared" si="39"/>
        <v>0</v>
      </c>
      <c r="L68" s="35"/>
    </row>
    <row r="69" spans="1:12" s="37" customFormat="1" x14ac:dyDescent="0.25">
      <c r="A69" s="30" t="str">
        <f>IF(F69&lt;&gt;"",1+MAX($A$7:A68),"")</f>
        <v/>
      </c>
      <c r="B69" s="31"/>
      <c r="C69" s="118"/>
      <c r="D69" s="41"/>
      <c r="E69" s="28"/>
      <c r="F69" s="32"/>
      <c r="G69" s="29"/>
      <c r="H69" s="29"/>
      <c r="I69" s="29"/>
      <c r="J69" s="33"/>
      <c r="K69" s="34"/>
      <c r="L69" s="35"/>
    </row>
    <row r="70" spans="1:12" s="37" customFormat="1" x14ac:dyDescent="0.25">
      <c r="A70" s="30" t="str">
        <f>IF(F70&lt;&gt;"",1+MAX($A$7:A69),"")</f>
        <v/>
      </c>
      <c r="B70" s="31"/>
      <c r="C70" s="120" t="s">
        <v>75</v>
      </c>
      <c r="D70" s="41"/>
      <c r="E70" s="28"/>
      <c r="F70" s="32"/>
      <c r="G70" s="29"/>
      <c r="H70" s="29"/>
      <c r="I70" s="29"/>
      <c r="J70" s="33"/>
      <c r="K70" s="34"/>
      <c r="L70" s="35"/>
    </row>
    <row r="71" spans="1:12" s="37" customFormat="1" x14ac:dyDescent="0.25">
      <c r="A71" s="30">
        <f>IF(F71&lt;&gt;"",1+MAX($A$7:A70),"")</f>
        <v>46</v>
      </c>
      <c r="B71" s="31"/>
      <c r="C71" s="118" t="s">
        <v>253</v>
      </c>
      <c r="D71" s="41">
        <v>3</v>
      </c>
      <c r="E71" s="28">
        <v>0.1</v>
      </c>
      <c r="F71" s="32">
        <f t="shared" ref="F71:F79" si="40">D71*(1+E71)</f>
        <v>3.3000000000000003</v>
      </c>
      <c r="G71" s="29" t="s">
        <v>41</v>
      </c>
      <c r="H71" s="29"/>
      <c r="I71" s="29"/>
      <c r="J71" s="33"/>
      <c r="K71" s="34">
        <f t="shared" ref="K71:K79" si="41">J71*F71</f>
        <v>0</v>
      </c>
      <c r="L71" s="35"/>
    </row>
    <row r="72" spans="1:12" s="37" customFormat="1" x14ac:dyDescent="0.25">
      <c r="A72" s="30">
        <f>IF(F72&lt;&gt;"",1+MAX($A$7:A71),"")</f>
        <v>47</v>
      </c>
      <c r="B72" s="31"/>
      <c r="C72" s="118" t="s">
        <v>53</v>
      </c>
      <c r="D72" s="41">
        <v>3</v>
      </c>
      <c r="E72" s="28">
        <v>0.1</v>
      </c>
      <c r="F72" s="32">
        <f t="shared" si="40"/>
        <v>3.3000000000000003</v>
      </c>
      <c r="G72" s="29" t="s">
        <v>41</v>
      </c>
      <c r="H72" s="29"/>
      <c r="I72" s="29"/>
      <c r="J72" s="33"/>
      <c r="K72" s="34">
        <f t="shared" si="41"/>
        <v>0</v>
      </c>
      <c r="L72" s="35"/>
    </row>
    <row r="73" spans="1:12" s="37" customFormat="1" x14ac:dyDescent="0.25">
      <c r="A73" s="30">
        <f>IF(F73&lt;&gt;"",1+MAX($A$7:A72),"")</f>
        <v>48</v>
      </c>
      <c r="B73" s="31"/>
      <c r="C73" s="118" t="s">
        <v>107</v>
      </c>
      <c r="D73" s="41">
        <v>5</v>
      </c>
      <c r="E73" s="28">
        <v>0.1</v>
      </c>
      <c r="F73" s="32">
        <f>D73*(1+E73)</f>
        <v>5.5</v>
      </c>
      <c r="G73" s="29" t="s">
        <v>41</v>
      </c>
      <c r="H73" s="29"/>
      <c r="I73" s="29"/>
      <c r="J73" s="33"/>
      <c r="K73" s="34">
        <f>J73*F73</f>
        <v>0</v>
      </c>
      <c r="L73" s="35"/>
    </row>
    <row r="74" spans="1:12" s="37" customFormat="1" x14ac:dyDescent="0.25">
      <c r="A74" s="30">
        <f>IF(F74&lt;&gt;"",1+MAX($A$7:A73),"")</f>
        <v>49</v>
      </c>
      <c r="B74" s="31"/>
      <c r="C74" s="118" t="s">
        <v>254</v>
      </c>
      <c r="D74" s="41">
        <v>2</v>
      </c>
      <c r="E74" s="28">
        <v>0.1</v>
      </c>
      <c r="F74" s="32">
        <f t="shared" ref="F74" si="42">D74*(1+E74)</f>
        <v>2.2000000000000002</v>
      </c>
      <c r="G74" s="29" t="s">
        <v>41</v>
      </c>
      <c r="H74" s="29"/>
      <c r="I74" s="29"/>
      <c r="J74" s="33"/>
      <c r="K74" s="34">
        <f t="shared" ref="K74" si="43">J74*F74</f>
        <v>0</v>
      </c>
      <c r="L74" s="35"/>
    </row>
    <row r="75" spans="1:12" s="37" customFormat="1" x14ac:dyDescent="0.25">
      <c r="A75" s="30">
        <f>IF(F75&lt;&gt;"",1+MAX($A$7:A74),"")</f>
        <v>50</v>
      </c>
      <c r="B75" s="31"/>
      <c r="C75" s="118" t="s">
        <v>270</v>
      </c>
      <c r="D75" s="41">
        <v>4</v>
      </c>
      <c r="E75" s="28">
        <v>0.1</v>
      </c>
      <c r="F75" s="32">
        <f t="shared" ref="F75" si="44">D75*(1+E75)</f>
        <v>4.4000000000000004</v>
      </c>
      <c r="G75" s="29" t="s">
        <v>41</v>
      </c>
      <c r="H75" s="29"/>
      <c r="I75" s="29"/>
      <c r="J75" s="33"/>
      <c r="K75" s="34">
        <f t="shared" ref="K75" si="45">J75*F75</f>
        <v>0</v>
      </c>
      <c r="L75" s="35"/>
    </row>
    <row r="76" spans="1:12" s="37" customFormat="1" x14ac:dyDescent="0.25">
      <c r="A76" s="30">
        <f>IF(F76&lt;&gt;"",1+MAX($A$7:A75),"")</f>
        <v>51</v>
      </c>
      <c r="B76" s="31"/>
      <c r="C76" s="118" t="s">
        <v>70</v>
      </c>
      <c r="D76" s="105">
        <f>3.14*0.33*0.33*0.25*2.5*13/27</f>
        <v>0.10290041666666667</v>
      </c>
      <c r="E76" s="28">
        <v>0.1</v>
      </c>
      <c r="F76" s="106">
        <f t="shared" si="40"/>
        <v>0.11319045833333335</v>
      </c>
      <c r="G76" s="29" t="s">
        <v>48</v>
      </c>
      <c r="H76" s="29"/>
      <c r="I76" s="29"/>
      <c r="J76" s="33"/>
      <c r="K76" s="34">
        <f t="shared" si="41"/>
        <v>0</v>
      </c>
      <c r="L76" s="35"/>
    </row>
    <row r="77" spans="1:12" s="37" customFormat="1" x14ac:dyDescent="0.25">
      <c r="A77" s="30">
        <f>IF(F77&lt;&gt;"",1+MAX($A$7:A76),"")</f>
        <v>52</v>
      </c>
      <c r="B77" s="31"/>
      <c r="C77" s="118" t="s">
        <v>71</v>
      </c>
      <c r="D77" s="41">
        <f>3.14*0.33*2.5*13</f>
        <v>33.676499999999997</v>
      </c>
      <c r="E77" s="28">
        <v>0.1</v>
      </c>
      <c r="F77" s="32">
        <f t="shared" si="40"/>
        <v>37.044150000000002</v>
      </c>
      <c r="G77" s="29" t="s">
        <v>74</v>
      </c>
      <c r="H77" s="29"/>
      <c r="I77" s="29"/>
      <c r="J77" s="33"/>
      <c r="K77" s="34">
        <f t="shared" si="41"/>
        <v>0</v>
      </c>
      <c r="L77" s="35"/>
    </row>
    <row r="78" spans="1:12" s="37" customFormat="1" x14ac:dyDescent="0.25">
      <c r="A78" s="30">
        <f>IF(F78&lt;&gt;"",1+MAX($A$7:A77),"")</f>
        <v>53</v>
      </c>
      <c r="B78" s="31"/>
      <c r="C78" s="118" t="s">
        <v>72</v>
      </c>
      <c r="D78" s="105">
        <f>3.14*1.33*1.33*0.25*2.5*13/27</f>
        <v>1.6714467129629631</v>
      </c>
      <c r="E78" s="28">
        <v>0.1</v>
      </c>
      <c r="F78" s="106">
        <f t="shared" si="40"/>
        <v>1.8385913842592596</v>
      </c>
      <c r="G78" s="29" t="s">
        <v>48</v>
      </c>
      <c r="H78" s="29"/>
      <c r="I78" s="29"/>
      <c r="J78" s="33"/>
      <c r="K78" s="34">
        <f t="shared" si="41"/>
        <v>0</v>
      </c>
      <c r="L78" s="35"/>
    </row>
    <row r="79" spans="1:12" s="37" customFormat="1" x14ac:dyDescent="0.25">
      <c r="A79" s="30">
        <f>IF(F79&lt;&gt;"",1+MAX($A$7:A78),"")</f>
        <v>54</v>
      </c>
      <c r="B79" s="31"/>
      <c r="C79" s="118" t="s">
        <v>73</v>
      </c>
      <c r="D79" s="105">
        <f>D78-D76</f>
        <v>1.5685462962962964</v>
      </c>
      <c r="E79" s="28">
        <v>0.1</v>
      </c>
      <c r="F79" s="106">
        <f t="shared" si="40"/>
        <v>1.7254009259259262</v>
      </c>
      <c r="G79" s="29" t="s">
        <v>48</v>
      </c>
      <c r="H79" s="29"/>
      <c r="I79" s="29"/>
      <c r="J79" s="33"/>
      <c r="K79" s="34">
        <f t="shared" si="41"/>
        <v>0</v>
      </c>
      <c r="L79" s="35"/>
    </row>
    <row r="80" spans="1:12" s="37" customFormat="1" x14ac:dyDescent="0.25">
      <c r="A80" s="30" t="str">
        <f>IF(F80&lt;&gt;"",1+MAX($A$7:A79),"")</f>
        <v/>
      </c>
      <c r="B80" s="31"/>
      <c r="C80" s="118"/>
      <c r="D80" s="41"/>
      <c r="E80" s="28"/>
      <c r="F80" s="32"/>
      <c r="G80" s="29"/>
      <c r="H80" s="29"/>
      <c r="I80" s="29"/>
      <c r="J80" s="33"/>
      <c r="K80" s="34"/>
      <c r="L80" s="35"/>
    </row>
    <row r="81" spans="1:12" s="37" customFormat="1" x14ac:dyDescent="0.25">
      <c r="A81" s="30" t="str">
        <f>IF(F81&lt;&gt;"",1+MAX($A$7:A80),"")</f>
        <v/>
      </c>
      <c r="B81" s="31"/>
      <c r="C81" s="120" t="s">
        <v>67</v>
      </c>
      <c r="D81" s="41"/>
      <c r="E81" s="28"/>
      <c r="F81" s="32"/>
      <c r="G81" s="29"/>
      <c r="H81" s="29"/>
      <c r="I81" s="29"/>
      <c r="J81" s="33"/>
      <c r="K81" s="34"/>
      <c r="L81" s="35"/>
    </row>
    <row r="82" spans="1:12" s="37" customFormat="1" x14ac:dyDescent="0.25">
      <c r="A82" s="30">
        <f>IF(F82&lt;&gt;"",1+MAX($A$7:A81),"")</f>
        <v>55</v>
      </c>
      <c r="B82" s="31"/>
      <c r="C82" s="121" t="s">
        <v>241</v>
      </c>
      <c r="D82" s="41">
        <v>150</v>
      </c>
      <c r="E82" s="28">
        <v>0.1</v>
      </c>
      <c r="F82" s="32">
        <f t="shared" ref="F82:F111" si="46">D82*(1+E82)</f>
        <v>165</v>
      </c>
      <c r="G82" s="29" t="s">
        <v>42</v>
      </c>
      <c r="H82" s="29"/>
      <c r="I82" s="29"/>
      <c r="J82" s="33"/>
      <c r="K82" s="34">
        <f t="shared" ref="K82:K111" si="47">J82*F82</f>
        <v>0</v>
      </c>
      <c r="L82" s="35"/>
    </row>
    <row r="83" spans="1:12" s="37" customFormat="1" x14ac:dyDescent="0.25">
      <c r="A83" s="30" t="str">
        <f>IF(F83&lt;&gt;"",1+MAX($A$7:A82),"")</f>
        <v/>
      </c>
      <c r="B83" s="31"/>
      <c r="C83" s="118"/>
      <c r="D83" s="41"/>
      <c r="E83" s="28"/>
      <c r="F83" s="32"/>
      <c r="G83" s="29"/>
      <c r="H83" s="29"/>
      <c r="I83" s="29"/>
      <c r="J83" s="33"/>
      <c r="K83" s="34"/>
      <c r="L83" s="35"/>
    </row>
    <row r="84" spans="1:12" s="37" customFormat="1" x14ac:dyDescent="0.25">
      <c r="A84" s="30" t="str">
        <f>IF(F84&lt;&gt;"",1+MAX($A$7:A83),"")</f>
        <v/>
      </c>
      <c r="B84" s="31"/>
      <c r="C84" s="120" t="s">
        <v>257</v>
      </c>
      <c r="D84" s="41"/>
      <c r="E84" s="28"/>
      <c r="F84" s="32"/>
      <c r="G84" s="29"/>
      <c r="H84" s="29"/>
      <c r="I84" s="29"/>
      <c r="J84" s="33"/>
      <c r="K84" s="34"/>
      <c r="L84" s="35"/>
    </row>
    <row r="85" spans="1:12" s="37" customFormat="1" x14ac:dyDescent="0.25">
      <c r="A85" s="30">
        <f>IF(F85&lt;&gt;"",1+MAX($A$7:A84),"")</f>
        <v>56</v>
      </c>
      <c r="B85" s="31"/>
      <c r="C85" s="121" t="s">
        <v>258</v>
      </c>
      <c r="D85" s="41">
        <v>17</v>
      </c>
      <c r="E85" s="28">
        <v>0</v>
      </c>
      <c r="F85" s="32">
        <f t="shared" ref="F85" si="48">D85*(1+E85)</f>
        <v>17</v>
      </c>
      <c r="G85" s="29" t="s">
        <v>41</v>
      </c>
      <c r="H85" s="29"/>
      <c r="I85" s="29"/>
      <c r="J85" s="33"/>
      <c r="K85" s="34">
        <f t="shared" ref="K85" si="49">J85*F85</f>
        <v>0</v>
      </c>
      <c r="L85" s="35"/>
    </row>
    <row r="86" spans="1:12" s="37" customFormat="1" x14ac:dyDescent="0.25">
      <c r="A86" s="30" t="str">
        <f>IF(F86&lt;&gt;"",1+MAX($A$7:A85),"")</f>
        <v/>
      </c>
      <c r="B86" s="31"/>
      <c r="C86" s="118"/>
      <c r="D86" s="41"/>
      <c r="E86" s="28"/>
      <c r="F86" s="32"/>
      <c r="G86" s="29"/>
      <c r="H86" s="29"/>
      <c r="I86" s="29"/>
      <c r="J86" s="33"/>
      <c r="K86" s="34"/>
      <c r="L86" s="35"/>
    </row>
    <row r="87" spans="1:12" s="37" customFormat="1" x14ac:dyDescent="0.25">
      <c r="A87" s="30" t="str">
        <f>IF(F87&lt;&gt;"",1+MAX($A$7:A86),"")</f>
        <v/>
      </c>
      <c r="B87" s="31"/>
      <c r="C87" s="120" t="s">
        <v>68</v>
      </c>
      <c r="D87" s="41"/>
      <c r="E87" s="28"/>
      <c r="F87" s="32"/>
      <c r="G87" s="29"/>
      <c r="H87" s="29"/>
      <c r="I87" s="29"/>
      <c r="J87" s="33"/>
      <c r="K87" s="34"/>
      <c r="L87" s="35"/>
    </row>
    <row r="88" spans="1:12" s="37" customFormat="1" x14ac:dyDescent="0.25">
      <c r="A88" s="30">
        <f>IF(F88&lt;&gt;"",1+MAX($A$7:A87),"")</f>
        <v>57</v>
      </c>
      <c r="B88" s="31"/>
      <c r="C88" s="118" t="s">
        <v>226</v>
      </c>
      <c r="D88" s="41">
        <v>430</v>
      </c>
      <c r="E88" s="28">
        <v>0.1</v>
      </c>
      <c r="F88" s="32">
        <f t="shared" si="46"/>
        <v>473.00000000000006</v>
      </c>
      <c r="G88" s="29" t="s">
        <v>40</v>
      </c>
      <c r="H88" s="29"/>
      <c r="I88" s="29"/>
      <c r="J88" s="33"/>
      <c r="K88" s="34">
        <f t="shared" si="47"/>
        <v>0</v>
      </c>
      <c r="L88" s="35"/>
    </row>
    <row r="89" spans="1:12" s="37" customFormat="1" x14ac:dyDescent="0.25">
      <c r="A89" s="30">
        <f>IF(F89&lt;&gt;"",1+MAX($A$7:A88),"")</f>
        <v>58</v>
      </c>
      <c r="B89" s="31"/>
      <c r="C89" s="118" t="s">
        <v>227</v>
      </c>
      <c r="D89" s="41">
        <v>198</v>
      </c>
      <c r="E89" s="28">
        <v>0.1</v>
      </c>
      <c r="F89" s="32">
        <f t="shared" ref="F89" si="50">D89*(1+E89)</f>
        <v>217.8</v>
      </c>
      <c r="G89" s="29" t="s">
        <v>40</v>
      </c>
      <c r="H89" s="29"/>
      <c r="I89" s="29"/>
      <c r="J89" s="33"/>
      <c r="K89" s="34">
        <f t="shared" ref="K89" si="51">J89*F89</f>
        <v>0</v>
      </c>
      <c r="L89" s="35"/>
    </row>
    <row r="90" spans="1:12" s="37" customFormat="1" x14ac:dyDescent="0.25">
      <c r="A90" s="30">
        <f>IF(F90&lt;&gt;"",1+MAX($A$7:A89),"")</f>
        <v>59</v>
      </c>
      <c r="B90" s="31"/>
      <c r="C90" s="118" t="s">
        <v>228</v>
      </c>
      <c r="D90" s="41">
        <v>66</v>
      </c>
      <c r="E90" s="28">
        <v>0.1</v>
      </c>
      <c r="F90" s="32">
        <f>D90*(1+E90)</f>
        <v>72.600000000000009</v>
      </c>
      <c r="G90" s="29" t="s">
        <v>40</v>
      </c>
      <c r="H90" s="29"/>
      <c r="I90" s="29"/>
      <c r="J90" s="33"/>
      <c r="K90" s="34">
        <f>J90*F90</f>
        <v>0</v>
      </c>
      <c r="L90" s="35"/>
    </row>
    <row r="91" spans="1:12" s="37" customFormat="1" x14ac:dyDescent="0.25">
      <c r="A91" s="30">
        <f>IF(F91&lt;&gt;"",1+MAX($A$7:A90),"")</f>
        <v>60</v>
      </c>
      <c r="B91" s="31"/>
      <c r="C91" s="118" t="s">
        <v>229</v>
      </c>
      <c r="D91" s="41">
        <v>296</v>
      </c>
      <c r="E91" s="28">
        <v>0.1</v>
      </c>
      <c r="F91" s="32">
        <f>D91*(1+E91)</f>
        <v>325.60000000000002</v>
      </c>
      <c r="G91" s="29" t="s">
        <v>40</v>
      </c>
      <c r="H91" s="29"/>
      <c r="I91" s="29"/>
      <c r="J91" s="33"/>
      <c r="K91" s="34">
        <f>J91*F91</f>
        <v>0</v>
      </c>
      <c r="L91" s="35"/>
    </row>
    <row r="92" spans="1:12" s="37" customFormat="1" x14ac:dyDescent="0.25">
      <c r="A92" s="30">
        <f>IF(F92&lt;&gt;"",1+MAX($A$7:A91),"")</f>
        <v>61</v>
      </c>
      <c r="B92" s="31"/>
      <c r="C92" s="118" t="s">
        <v>233</v>
      </c>
      <c r="D92" s="41">
        <v>105</v>
      </c>
      <c r="E92" s="28">
        <v>0.1</v>
      </c>
      <c r="F92" s="32">
        <f>D92*(1+E92)</f>
        <v>115.50000000000001</v>
      </c>
      <c r="G92" s="29" t="s">
        <v>40</v>
      </c>
      <c r="H92" s="29"/>
      <c r="I92" s="29"/>
      <c r="J92" s="33"/>
      <c r="K92" s="34">
        <f>J92*F92</f>
        <v>0</v>
      </c>
      <c r="L92" s="35"/>
    </row>
    <row r="93" spans="1:12" s="37" customFormat="1" x14ac:dyDescent="0.25">
      <c r="A93" s="30">
        <f>IF(F93&lt;&gt;"",1+MAX($A$7:A92),"")</f>
        <v>62</v>
      </c>
      <c r="B93" s="31"/>
      <c r="C93" s="118" t="s">
        <v>232</v>
      </c>
      <c r="D93" s="41">
        <v>355</v>
      </c>
      <c r="E93" s="28">
        <v>0.1</v>
      </c>
      <c r="F93" s="32">
        <f>D93*(1+E93)</f>
        <v>390.50000000000006</v>
      </c>
      <c r="G93" s="29" t="s">
        <v>40</v>
      </c>
      <c r="H93" s="29"/>
      <c r="I93" s="29"/>
      <c r="J93" s="33"/>
      <c r="K93" s="34">
        <f>J93*F93</f>
        <v>0</v>
      </c>
      <c r="L93" s="35"/>
    </row>
    <row r="94" spans="1:12" s="37" customFormat="1" x14ac:dyDescent="0.25">
      <c r="A94" s="30">
        <f>IF(F94&lt;&gt;"",1+MAX($A$7:A93),"")</f>
        <v>63</v>
      </c>
      <c r="B94" s="31"/>
      <c r="C94" s="118" t="s">
        <v>231</v>
      </c>
      <c r="D94" s="41">
        <v>496</v>
      </c>
      <c r="E94" s="28">
        <v>0.1</v>
      </c>
      <c r="F94" s="32">
        <f t="shared" ref="F94:F95" si="52">D94*(1+E94)</f>
        <v>545.6</v>
      </c>
      <c r="G94" s="29" t="s">
        <v>40</v>
      </c>
      <c r="H94" s="29"/>
      <c r="I94" s="29"/>
      <c r="J94" s="33"/>
      <c r="K94" s="34">
        <f t="shared" ref="K94:K95" si="53">J94*F94</f>
        <v>0</v>
      </c>
      <c r="L94" s="35"/>
    </row>
    <row r="95" spans="1:12" s="37" customFormat="1" x14ac:dyDescent="0.25">
      <c r="A95" s="30">
        <f>IF(F95&lt;&gt;"",1+MAX($A$7:A94),"")</f>
        <v>64</v>
      </c>
      <c r="B95" s="31"/>
      <c r="C95" s="118" t="s">
        <v>230</v>
      </c>
      <c r="D95" s="41">
        <v>85</v>
      </c>
      <c r="E95" s="28">
        <v>0.1</v>
      </c>
      <c r="F95" s="32">
        <f t="shared" si="52"/>
        <v>93.500000000000014</v>
      </c>
      <c r="G95" s="29" t="s">
        <v>40</v>
      </c>
      <c r="H95" s="29"/>
      <c r="I95" s="29"/>
      <c r="J95" s="33"/>
      <c r="K95" s="34">
        <f t="shared" si="53"/>
        <v>0</v>
      </c>
      <c r="L95" s="35"/>
    </row>
    <row r="96" spans="1:12" s="37" customFormat="1" x14ac:dyDescent="0.25">
      <c r="A96" s="30">
        <f>IF(F96&lt;&gt;"",1+MAX($A$7:A95),"")</f>
        <v>65</v>
      </c>
      <c r="B96" s="31"/>
      <c r="C96" s="118" t="s">
        <v>242</v>
      </c>
      <c r="D96" s="41">
        <v>370</v>
      </c>
      <c r="E96" s="28">
        <v>0.1</v>
      </c>
      <c r="F96" s="32">
        <f t="shared" ref="F96" si="54">D96*(1+E96)</f>
        <v>407.00000000000006</v>
      </c>
      <c r="G96" s="29" t="s">
        <v>40</v>
      </c>
      <c r="H96" s="29"/>
      <c r="I96" s="29"/>
      <c r="J96" s="33"/>
      <c r="K96" s="34">
        <f t="shared" ref="K96" si="55">J96*F96</f>
        <v>0</v>
      </c>
      <c r="L96" s="35"/>
    </row>
    <row r="97" spans="1:12" s="37" customFormat="1" x14ac:dyDescent="0.25">
      <c r="A97" s="30">
        <f>IF(F97&lt;&gt;"",1+MAX($A$7:A96),"")</f>
        <v>66</v>
      </c>
      <c r="B97" s="31"/>
      <c r="C97" s="118" t="s">
        <v>243</v>
      </c>
      <c r="D97" s="41">
        <v>160</v>
      </c>
      <c r="E97" s="28">
        <v>0.1</v>
      </c>
      <c r="F97" s="32">
        <f t="shared" ref="F97:F98" si="56">D97*(1+E97)</f>
        <v>176</v>
      </c>
      <c r="G97" s="29" t="s">
        <v>40</v>
      </c>
      <c r="H97" s="29"/>
      <c r="I97" s="29"/>
      <c r="J97" s="33"/>
      <c r="K97" s="34">
        <f t="shared" ref="K97:K98" si="57">J97*F97</f>
        <v>0</v>
      </c>
      <c r="L97" s="35"/>
    </row>
    <row r="98" spans="1:12" s="37" customFormat="1" x14ac:dyDescent="0.25">
      <c r="A98" s="30">
        <f>IF(F98&lt;&gt;"",1+MAX($A$7:A97),"")</f>
        <v>67</v>
      </c>
      <c r="B98" s="31"/>
      <c r="C98" s="118" t="s">
        <v>244</v>
      </c>
      <c r="D98" s="41">
        <v>295</v>
      </c>
      <c r="E98" s="28">
        <v>0.1</v>
      </c>
      <c r="F98" s="32">
        <f t="shared" si="56"/>
        <v>324.5</v>
      </c>
      <c r="G98" s="29" t="s">
        <v>40</v>
      </c>
      <c r="H98" s="29"/>
      <c r="I98" s="29"/>
      <c r="J98" s="33"/>
      <c r="K98" s="34">
        <f t="shared" si="57"/>
        <v>0</v>
      </c>
      <c r="L98" s="35"/>
    </row>
    <row r="99" spans="1:12" s="37" customFormat="1" x14ac:dyDescent="0.25">
      <c r="A99" s="30">
        <f>IF(F99&lt;&gt;"",1+MAX($A$7:A98),"")</f>
        <v>68</v>
      </c>
      <c r="B99" s="31"/>
      <c r="C99" s="118" t="s">
        <v>245</v>
      </c>
      <c r="D99" s="41">
        <v>60</v>
      </c>
      <c r="E99" s="28">
        <v>0.1</v>
      </c>
      <c r="F99" s="32">
        <f t="shared" ref="F99:F100" si="58">D99*(1+E99)</f>
        <v>66</v>
      </c>
      <c r="G99" s="29" t="s">
        <v>40</v>
      </c>
      <c r="H99" s="29"/>
      <c r="I99" s="29"/>
      <c r="J99" s="33"/>
      <c r="K99" s="34">
        <f t="shared" ref="K99:K100" si="59">J99*F99</f>
        <v>0</v>
      </c>
      <c r="L99" s="35"/>
    </row>
    <row r="100" spans="1:12" s="37" customFormat="1" x14ac:dyDescent="0.25">
      <c r="A100" s="30">
        <f>IF(F100&lt;&gt;"",1+MAX($A$7:A99),"")</f>
        <v>69</v>
      </c>
      <c r="B100" s="31"/>
      <c r="C100" s="136" t="s">
        <v>285</v>
      </c>
      <c r="D100" s="41">
        <v>2</v>
      </c>
      <c r="E100" s="28">
        <v>0</v>
      </c>
      <c r="F100" s="32">
        <f t="shared" si="58"/>
        <v>2</v>
      </c>
      <c r="G100" s="29" t="s">
        <v>41</v>
      </c>
      <c r="H100" s="29"/>
      <c r="I100" s="29"/>
      <c r="J100" s="33"/>
      <c r="K100" s="34">
        <f t="shared" si="59"/>
        <v>0</v>
      </c>
      <c r="L100" s="35"/>
    </row>
    <row r="101" spans="1:12" s="37" customFormat="1" x14ac:dyDescent="0.25">
      <c r="A101" s="30">
        <f>IF(F101&lt;&gt;"",1+MAX($A$7:A100),"")</f>
        <v>70</v>
      </c>
      <c r="B101" s="31"/>
      <c r="C101" s="118" t="s">
        <v>246</v>
      </c>
      <c r="D101" s="41">
        <v>10</v>
      </c>
      <c r="E101" s="28">
        <v>0</v>
      </c>
      <c r="F101" s="32">
        <f t="shared" ref="F101" si="60">D101*(1+E101)</f>
        <v>10</v>
      </c>
      <c r="G101" s="29" t="s">
        <v>41</v>
      </c>
      <c r="H101" s="29"/>
      <c r="I101" s="29"/>
      <c r="J101" s="33"/>
      <c r="K101" s="34">
        <f t="shared" ref="K101" si="61">J101*F101</f>
        <v>0</v>
      </c>
      <c r="L101" s="35"/>
    </row>
    <row r="102" spans="1:12" s="37" customFormat="1" x14ac:dyDescent="0.25">
      <c r="A102" s="30">
        <f>IF(F102&lt;&gt;"",1+MAX($A$7:A101),"")</f>
        <v>71</v>
      </c>
      <c r="B102" s="31"/>
      <c r="C102" s="118" t="s">
        <v>247</v>
      </c>
      <c r="D102" s="41">
        <v>3</v>
      </c>
      <c r="E102" s="28">
        <v>0</v>
      </c>
      <c r="F102" s="32">
        <f t="shared" ref="F102" si="62">D102*(1+E102)</f>
        <v>3</v>
      </c>
      <c r="G102" s="29" t="s">
        <v>41</v>
      </c>
      <c r="H102" s="29"/>
      <c r="I102" s="29"/>
      <c r="J102" s="33"/>
      <c r="K102" s="34">
        <f t="shared" ref="K102" si="63">J102*F102</f>
        <v>0</v>
      </c>
      <c r="L102" s="35"/>
    </row>
    <row r="103" spans="1:12" s="37" customFormat="1" x14ac:dyDescent="0.25">
      <c r="A103" s="30">
        <f>IF(F103&lt;&gt;"",1+MAX($A$7:A102),"")</f>
        <v>72</v>
      </c>
      <c r="B103" s="31"/>
      <c r="C103" s="118" t="s">
        <v>248</v>
      </c>
      <c r="D103" s="41">
        <v>3</v>
      </c>
      <c r="E103" s="28">
        <v>0</v>
      </c>
      <c r="F103" s="32">
        <f t="shared" ref="F103" si="64">D103*(1+E103)</f>
        <v>3</v>
      </c>
      <c r="G103" s="29" t="s">
        <v>41</v>
      </c>
      <c r="H103" s="29"/>
      <c r="I103" s="29"/>
      <c r="J103" s="33"/>
      <c r="K103" s="34">
        <f t="shared" ref="K103" si="65">J103*F103</f>
        <v>0</v>
      </c>
      <c r="L103" s="35"/>
    </row>
    <row r="104" spans="1:12" s="37" customFormat="1" x14ac:dyDescent="0.25">
      <c r="A104" s="30">
        <f>IF(F104&lt;&gt;"",1+MAX($A$7:A103),"")</f>
        <v>73</v>
      </c>
      <c r="B104" s="31"/>
      <c r="C104" s="118" t="s">
        <v>249</v>
      </c>
      <c r="D104" s="41">
        <v>2375</v>
      </c>
      <c r="E104" s="28">
        <v>0.1</v>
      </c>
      <c r="F104" s="32">
        <f t="shared" ref="F104" si="66">D104*(1+E104)</f>
        <v>2612.5</v>
      </c>
      <c r="G104" s="29" t="s">
        <v>40</v>
      </c>
      <c r="H104" s="29"/>
      <c r="I104" s="29"/>
      <c r="J104" s="33"/>
      <c r="K104" s="34">
        <f t="shared" ref="K104" si="67">J104*F104</f>
        <v>0</v>
      </c>
      <c r="L104" s="35"/>
    </row>
    <row r="105" spans="1:12" s="37" customFormat="1" x14ac:dyDescent="0.25">
      <c r="A105" s="30" t="str">
        <f>IF(F105&lt;&gt;"",1+MAX($A$7:A104),"")</f>
        <v/>
      </c>
      <c r="B105" s="31"/>
      <c r="D105" s="41"/>
      <c r="E105" s="28"/>
      <c r="F105" s="32"/>
      <c r="G105" s="29"/>
      <c r="H105" s="29"/>
      <c r="I105" s="29"/>
      <c r="J105" s="33"/>
      <c r="K105" s="34"/>
      <c r="L105" s="35"/>
    </row>
    <row r="106" spans="1:12" s="37" customFormat="1" x14ac:dyDescent="0.25">
      <c r="A106" s="30" t="str">
        <f>IF(F106&lt;&gt;"",1+MAX($A$7:A105),"")</f>
        <v/>
      </c>
      <c r="B106" s="31"/>
      <c r="C106" s="91" t="s">
        <v>61</v>
      </c>
      <c r="D106" s="41"/>
      <c r="E106" s="28"/>
      <c r="F106" s="32"/>
      <c r="G106" s="29"/>
      <c r="H106" s="29"/>
      <c r="I106" s="29"/>
      <c r="J106" s="33"/>
      <c r="K106" s="34"/>
      <c r="L106" s="35"/>
    </row>
    <row r="107" spans="1:12" s="37" customFormat="1" x14ac:dyDescent="0.25">
      <c r="A107" s="30">
        <f>IF(F107&lt;&gt;"",1+MAX($A$7:A106),"")</f>
        <v>74</v>
      </c>
      <c r="B107" s="31"/>
      <c r="C107" s="118" t="s">
        <v>64</v>
      </c>
      <c r="D107" s="41">
        <f>25975</f>
        <v>25975</v>
      </c>
      <c r="E107" s="28">
        <v>0.1</v>
      </c>
      <c r="F107" s="32">
        <f t="shared" si="46"/>
        <v>28572.500000000004</v>
      </c>
      <c r="G107" s="29" t="s">
        <v>42</v>
      </c>
      <c r="H107" s="29"/>
      <c r="I107" s="29"/>
      <c r="J107" s="33"/>
      <c r="K107" s="34">
        <f t="shared" si="47"/>
        <v>0</v>
      </c>
      <c r="L107" s="35"/>
    </row>
    <row r="108" spans="1:12" s="37" customFormat="1" x14ac:dyDescent="0.25">
      <c r="A108" s="30">
        <f>IF(F108&lt;&gt;"",1+MAX($A$7:A107),"")</f>
        <v>75</v>
      </c>
      <c r="B108" s="31"/>
      <c r="C108" s="118" t="s">
        <v>266</v>
      </c>
      <c r="D108" s="41">
        <f>D107*0.33/27</f>
        <v>317.47222222222223</v>
      </c>
      <c r="E108" s="28">
        <v>0.1</v>
      </c>
      <c r="F108" s="32">
        <f t="shared" si="46"/>
        <v>349.21944444444449</v>
      </c>
      <c r="G108" s="29" t="s">
        <v>48</v>
      </c>
      <c r="H108" s="29"/>
      <c r="I108" s="29"/>
      <c r="J108" s="33"/>
      <c r="K108" s="34">
        <f t="shared" si="47"/>
        <v>0</v>
      </c>
      <c r="L108" s="35"/>
    </row>
    <row r="109" spans="1:12" s="37" customFormat="1" x14ac:dyDescent="0.25">
      <c r="A109" s="30">
        <f>IF(F109&lt;&gt;"",1+MAX($A$7:A108),"")</f>
        <v>76</v>
      </c>
      <c r="B109" s="31"/>
      <c r="C109" s="118" t="s">
        <v>63</v>
      </c>
      <c r="D109" s="41">
        <f>9830</f>
        <v>9830</v>
      </c>
      <c r="E109" s="28">
        <v>0.1</v>
      </c>
      <c r="F109" s="32">
        <f t="shared" si="46"/>
        <v>10813</v>
      </c>
      <c r="G109" s="29" t="s">
        <v>40</v>
      </c>
      <c r="H109" s="29"/>
      <c r="I109" s="29"/>
      <c r="J109" s="33"/>
      <c r="K109" s="34">
        <f t="shared" si="47"/>
        <v>0</v>
      </c>
      <c r="L109" s="35"/>
    </row>
    <row r="110" spans="1:12" s="37" customFormat="1" x14ac:dyDescent="0.25">
      <c r="A110" s="30">
        <f>IF(F110&lt;&gt;"",1+MAX($A$7:A109),"")</f>
        <v>77</v>
      </c>
      <c r="B110" s="31"/>
      <c r="C110" s="118" t="s">
        <v>58</v>
      </c>
      <c r="D110" s="41">
        <f>0.16*D107</f>
        <v>4156</v>
      </c>
      <c r="E110" s="28">
        <v>0.1</v>
      </c>
      <c r="F110" s="32">
        <f t="shared" si="46"/>
        <v>4571.6000000000004</v>
      </c>
      <c r="G110" s="29" t="s">
        <v>40</v>
      </c>
      <c r="H110" s="29"/>
      <c r="I110" s="29"/>
      <c r="J110" s="33"/>
      <c r="K110" s="34">
        <f t="shared" si="47"/>
        <v>0</v>
      </c>
      <c r="L110" s="35"/>
    </row>
    <row r="111" spans="1:12" s="37" customFormat="1" x14ac:dyDescent="0.25">
      <c r="A111" s="30">
        <f>IF(F111&lt;&gt;"",1+MAX($A$7:A110),"")</f>
        <v>78</v>
      </c>
      <c r="B111" s="31"/>
      <c r="C111" s="118" t="s">
        <v>59</v>
      </c>
      <c r="D111" s="41">
        <f>D109</f>
        <v>9830</v>
      </c>
      <c r="E111" s="28">
        <v>0.1</v>
      </c>
      <c r="F111" s="32">
        <f t="shared" si="46"/>
        <v>10813</v>
      </c>
      <c r="G111" s="29" t="s">
        <v>40</v>
      </c>
      <c r="H111" s="29"/>
      <c r="I111" s="29"/>
      <c r="J111" s="33"/>
      <c r="K111" s="34">
        <f t="shared" si="47"/>
        <v>0</v>
      </c>
      <c r="L111" s="35"/>
    </row>
    <row r="112" spans="1:12" s="37" customFormat="1" x14ac:dyDescent="0.25">
      <c r="A112" s="30" t="str">
        <f>IF(F112&lt;&gt;"",1+MAX($A$7:A111),"")</f>
        <v/>
      </c>
      <c r="B112" s="31"/>
      <c r="D112" s="41"/>
      <c r="E112" s="28"/>
      <c r="F112" s="32"/>
      <c r="G112" s="29"/>
      <c r="H112" s="29"/>
      <c r="I112" s="29"/>
      <c r="J112" s="33"/>
      <c r="K112" s="34"/>
      <c r="L112" s="35"/>
    </row>
    <row r="113" spans="1:12" s="6" customFormat="1" x14ac:dyDescent="0.25">
      <c r="A113" s="30" t="str">
        <f>IF(F113&lt;&gt;"",1+MAX($A$7:A112),"")</f>
        <v/>
      </c>
      <c r="B113" s="11"/>
      <c r="C113" s="91" t="s">
        <v>259</v>
      </c>
      <c r="D113" s="41"/>
      <c r="E113" s="28"/>
      <c r="F113" s="32"/>
      <c r="G113" s="29"/>
      <c r="H113" s="29"/>
      <c r="I113" s="29"/>
      <c r="J113" s="33"/>
      <c r="K113" s="34"/>
      <c r="L113" s="5"/>
    </row>
    <row r="114" spans="1:12" s="37" customFormat="1" ht="45" x14ac:dyDescent="0.25">
      <c r="A114" s="30">
        <f>IF(F114&lt;&gt;"",1+MAX($A$7:A113),"")</f>
        <v>79</v>
      </c>
      <c r="B114" s="31"/>
      <c r="C114" s="121" t="s">
        <v>267</v>
      </c>
      <c r="D114" s="41">
        <v>10160</v>
      </c>
      <c r="E114" s="28">
        <v>0.1</v>
      </c>
      <c r="F114" s="32">
        <f t="shared" ref="F114:F156" si="68">D114*(1+E114)</f>
        <v>11176</v>
      </c>
      <c r="G114" s="29" t="s">
        <v>42</v>
      </c>
      <c r="H114" s="29"/>
      <c r="I114" s="29"/>
      <c r="J114" s="33"/>
      <c r="K114" s="34">
        <f t="shared" ref="K114:K156" si="69">J114*F114</f>
        <v>0</v>
      </c>
      <c r="L114" s="35"/>
    </row>
    <row r="115" spans="1:12" s="37" customFormat="1" x14ac:dyDescent="0.25">
      <c r="A115" s="30" t="str">
        <f>IF(F115&lt;&gt;"",1+MAX($A$7:A114),"")</f>
        <v/>
      </c>
      <c r="B115" s="31"/>
      <c r="D115" s="41"/>
      <c r="E115" s="28"/>
      <c r="F115" s="32"/>
      <c r="G115" s="29"/>
      <c r="H115" s="29"/>
      <c r="I115" s="29"/>
      <c r="J115" s="33"/>
      <c r="K115" s="34"/>
      <c r="L115" s="35"/>
    </row>
    <row r="116" spans="1:12" s="37" customFormat="1" x14ac:dyDescent="0.25">
      <c r="A116" s="30" t="str">
        <f>IF(F116&lt;&gt;"",1+MAX($A$7:A115),"")</f>
        <v/>
      </c>
      <c r="B116" s="31"/>
      <c r="C116" s="91" t="s">
        <v>260</v>
      </c>
      <c r="D116" s="41"/>
      <c r="E116" s="28"/>
      <c r="F116" s="32"/>
      <c r="G116" s="29"/>
      <c r="H116" s="29"/>
      <c r="I116" s="29"/>
      <c r="J116" s="33"/>
      <c r="K116" s="34"/>
      <c r="L116" s="35"/>
    </row>
    <row r="117" spans="1:12" s="37" customFormat="1" x14ac:dyDescent="0.25">
      <c r="A117" s="30">
        <f>IF(F117&lt;&gt;"",1+MAX($A$7:A116),"")</f>
        <v>80</v>
      </c>
      <c r="B117" s="31"/>
      <c r="C117" s="45" t="s">
        <v>271</v>
      </c>
      <c r="D117" s="41">
        <f>24120</f>
        <v>24120</v>
      </c>
      <c r="E117" s="28">
        <v>0.1</v>
      </c>
      <c r="F117" s="32">
        <f t="shared" si="68"/>
        <v>26532.000000000004</v>
      </c>
      <c r="G117" s="29" t="s">
        <v>42</v>
      </c>
      <c r="H117" s="29"/>
      <c r="I117" s="29"/>
      <c r="J117" s="33"/>
      <c r="K117" s="34">
        <f t="shared" si="69"/>
        <v>0</v>
      </c>
      <c r="L117" s="35"/>
    </row>
    <row r="118" spans="1:12" s="37" customFormat="1" x14ac:dyDescent="0.25">
      <c r="A118" s="30">
        <f>IF(F118&lt;&gt;"",1+MAX($A$7:A117),"")</f>
        <v>81</v>
      </c>
      <c r="B118" s="31"/>
      <c r="C118" s="37" t="s">
        <v>65</v>
      </c>
      <c r="D118" s="41">
        <f>D117*0.67/27</f>
        <v>598.53333333333342</v>
      </c>
      <c r="E118" s="28">
        <v>0.1</v>
      </c>
      <c r="F118" s="32">
        <f t="shared" si="68"/>
        <v>658.38666666666677</v>
      </c>
      <c r="G118" s="29" t="s">
        <v>48</v>
      </c>
      <c r="H118" s="29"/>
      <c r="I118" s="29"/>
      <c r="J118" s="33"/>
      <c r="K118" s="34">
        <f t="shared" si="69"/>
        <v>0</v>
      </c>
      <c r="L118" s="35"/>
    </row>
    <row r="119" spans="1:12" s="37" customFormat="1" x14ac:dyDescent="0.25">
      <c r="A119" s="30">
        <f>IF(F119&lt;&gt;"",1+MAX($A$7:A118),"")</f>
        <v>82</v>
      </c>
      <c r="B119" s="31"/>
      <c r="C119" s="37" t="s">
        <v>66</v>
      </c>
      <c r="D119" s="41">
        <v>6530</v>
      </c>
      <c r="E119" s="28">
        <v>0.1</v>
      </c>
      <c r="F119" s="32">
        <f t="shared" si="68"/>
        <v>7183.0000000000009</v>
      </c>
      <c r="G119" s="29" t="s">
        <v>40</v>
      </c>
      <c r="H119" s="29"/>
      <c r="I119" s="29"/>
      <c r="J119" s="33"/>
      <c r="K119" s="34">
        <f t="shared" si="69"/>
        <v>0</v>
      </c>
      <c r="L119" s="35"/>
    </row>
    <row r="120" spans="1:12" s="37" customFormat="1" x14ac:dyDescent="0.25">
      <c r="A120" s="30">
        <f>IF(F120&lt;&gt;"",1+MAX($A$7:A119),"")</f>
        <v>83</v>
      </c>
      <c r="B120" s="31"/>
      <c r="C120" s="37" t="s">
        <v>58</v>
      </c>
      <c r="D120" s="41">
        <f>0.16*D117</f>
        <v>3859.2000000000003</v>
      </c>
      <c r="E120" s="28">
        <v>0.1</v>
      </c>
      <c r="F120" s="32">
        <f t="shared" si="68"/>
        <v>4245.1200000000008</v>
      </c>
      <c r="G120" s="29" t="s">
        <v>40</v>
      </c>
      <c r="H120" s="29"/>
      <c r="I120" s="29"/>
      <c r="J120" s="33"/>
      <c r="K120" s="34">
        <f t="shared" si="69"/>
        <v>0</v>
      </c>
      <c r="L120" s="35"/>
    </row>
    <row r="121" spans="1:12" s="37" customFormat="1" x14ac:dyDescent="0.25">
      <c r="A121" s="30">
        <f>IF(F121&lt;&gt;"",1+MAX($A$7:A120),"")</f>
        <v>84</v>
      </c>
      <c r="B121" s="31"/>
      <c r="C121" s="37" t="s">
        <v>59</v>
      </c>
      <c r="D121" s="41">
        <f>D119</f>
        <v>6530</v>
      </c>
      <c r="E121" s="28">
        <v>0.1</v>
      </c>
      <c r="F121" s="32">
        <f t="shared" si="68"/>
        <v>7183.0000000000009</v>
      </c>
      <c r="G121" s="29" t="s">
        <v>40</v>
      </c>
      <c r="H121" s="29"/>
      <c r="I121" s="29"/>
      <c r="J121" s="33"/>
      <c r="K121" s="34">
        <f t="shared" si="69"/>
        <v>0</v>
      </c>
      <c r="L121" s="35"/>
    </row>
    <row r="122" spans="1:12" s="37" customFormat="1" x14ac:dyDescent="0.25">
      <c r="A122" s="30" t="str">
        <f>IF(F122&lt;&gt;"",1+MAX($A$7:A121),"")</f>
        <v/>
      </c>
      <c r="B122" s="31"/>
      <c r="C122" s="137" t="s">
        <v>272</v>
      </c>
      <c r="D122" s="41"/>
      <c r="E122" s="28"/>
      <c r="F122" s="32"/>
      <c r="G122" s="29"/>
      <c r="H122" s="29"/>
      <c r="I122" s="29"/>
      <c r="J122" s="33"/>
      <c r="K122" s="34"/>
      <c r="L122" s="35"/>
    </row>
    <row r="123" spans="1:12" s="37" customFormat="1" x14ac:dyDescent="0.25">
      <c r="A123" s="30" t="str">
        <f>IF(F123&lt;&gt;"",1+MAX($A$7:A122),"")</f>
        <v/>
      </c>
      <c r="B123" s="31"/>
      <c r="D123" s="41"/>
      <c r="E123" s="28"/>
      <c r="F123" s="32"/>
      <c r="G123" s="29"/>
      <c r="H123" s="29"/>
      <c r="I123" s="29"/>
      <c r="J123" s="33"/>
      <c r="K123" s="34"/>
      <c r="L123" s="35"/>
    </row>
    <row r="124" spans="1:12" s="37" customFormat="1" x14ac:dyDescent="0.25">
      <c r="A124" s="30" t="str">
        <f>IF(F124&lt;&gt;"",1+MAX($A$7:A123),"")</f>
        <v/>
      </c>
      <c r="B124" s="31"/>
      <c r="C124" s="120" t="s">
        <v>261</v>
      </c>
      <c r="D124" s="41"/>
      <c r="E124" s="28"/>
      <c r="F124" s="32"/>
      <c r="G124" s="29"/>
      <c r="H124" s="29"/>
      <c r="I124" s="29"/>
      <c r="J124" s="33"/>
      <c r="K124" s="34"/>
      <c r="L124" s="35"/>
    </row>
    <row r="125" spans="1:12" s="37" customFormat="1" x14ac:dyDescent="0.25">
      <c r="A125" s="30">
        <f>IF(F125&lt;&gt;"",1+MAX($A$7:A124),"")</f>
        <v>85</v>
      </c>
      <c r="B125" s="31"/>
      <c r="C125" s="121" t="s">
        <v>262</v>
      </c>
      <c r="D125" s="41">
        <v>54</v>
      </c>
      <c r="E125" s="28">
        <v>0</v>
      </c>
      <c r="F125" s="32">
        <f t="shared" ref="F125:F126" si="70">D125*(1+E125)</f>
        <v>54</v>
      </c>
      <c r="G125" s="29" t="s">
        <v>41</v>
      </c>
      <c r="H125" s="29"/>
      <c r="I125" s="29"/>
      <c r="J125" s="33"/>
      <c r="K125" s="34">
        <f t="shared" ref="K125:K126" si="71">J125*F125</f>
        <v>0</v>
      </c>
      <c r="L125" s="35"/>
    </row>
    <row r="126" spans="1:12" s="37" customFormat="1" x14ac:dyDescent="0.25">
      <c r="A126" s="30">
        <f>IF(F126&lt;&gt;"",1+MAX($A$7:A125),"")</f>
        <v>86</v>
      </c>
      <c r="B126" s="31"/>
      <c r="C126" s="121" t="s">
        <v>263</v>
      </c>
      <c r="D126" s="41">
        <v>158</v>
      </c>
      <c r="E126" s="28">
        <v>0</v>
      </c>
      <c r="F126" s="32">
        <f t="shared" si="70"/>
        <v>158</v>
      </c>
      <c r="G126" s="29" t="s">
        <v>41</v>
      </c>
      <c r="H126" s="29"/>
      <c r="I126" s="29"/>
      <c r="J126" s="33"/>
      <c r="K126" s="34">
        <f t="shared" si="71"/>
        <v>0</v>
      </c>
      <c r="L126" s="35"/>
    </row>
    <row r="127" spans="1:12" s="37" customFormat="1" x14ac:dyDescent="0.25">
      <c r="A127" s="30" t="str">
        <f>IF(F127&lt;&gt;"",1+MAX($A$7:A126),"")</f>
        <v/>
      </c>
      <c r="B127" s="31"/>
      <c r="C127" s="137" t="s">
        <v>264</v>
      </c>
      <c r="D127" s="41"/>
      <c r="E127" s="28"/>
      <c r="F127" s="32"/>
      <c r="G127" s="29"/>
      <c r="H127" s="29"/>
      <c r="I127" s="29"/>
      <c r="J127" s="33"/>
      <c r="K127" s="34"/>
      <c r="L127" s="35"/>
    </row>
    <row r="128" spans="1:12" s="37" customFormat="1" x14ac:dyDescent="0.25">
      <c r="A128" s="30" t="str">
        <f>IF(F128&lt;&gt;"",1+MAX($A$7:A127),"")</f>
        <v/>
      </c>
      <c r="B128" s="31"/>
      <c r="D128" s="41"/>
      <c r="E128" s="28"/>
      <c r="F128" s="32"/>
      <c r="G128" s="29"/>
      <c r="H128" s="29"/>
      <c r="I128" s="29"/>
      <c r="J128" s="33"/>
      <c r="K128" s="34"/>
      <c r="L128" s="35"/>
    </row>
    <row r="129" spans="1:12" s="37" customFormat="1" x14ac:dyDescent="0.25">
      <c r="A129" s="30" t="str">
        <f>IF(F129&lt;&gt;"",1+MAX($A$7:A128),"")</f>
        <v/>
      </c>
      <c r="B129" s="31"/>
      <c r="C129" s="91" t="s">
        <v>239</v>
      </c>
      <c r="D129" s="41"/>
      <c r="E129" s="28"/>
      <c r="F129" s="32"/>
      <c r="G129" s="29"/>
      <c r="H129" s="29"/>
      <c r="I129" s="29"/>
      <c r="J129" s="33"/>
      <c r="K129" s="34"/>
      <c r="L129" s="35"/>
    </row>
    <row r="130" spans="1:12" s="37" customFormat="1" ht="30" x14ac:dyDescent="0.25">
      <c r="A130" s="30">
        <f>IF(F130&lt;&gt;"",1+MAX($A$7:A129),"")</f>
        <v>87</v>
      </c>
      <c r="B130" s="31"/>
      <c r="C130" s="121" t="s">
        <v>240</v>
      </c>
      <c r="D130" s="41">
        <v>4</v>
      </c>
      <c r="E130" s="28">
        <v>0</v>
      </c>
      <c r="F130" s="32">
        <f t="shared" si="68"/>
        <v>4</v>
      </c>
      <c r="G130" s="29" t="s">
        <v>41</v>
      </c>
      <c r="H130" s="29"/>
      <c r="I130" s="29"/>
      <c r="J130" s="33"/>
      <c r="K130" s="34">
        <f t="shared" si="69"/>
        <v>0</v>
      </c>
      <c r="L130" s="35"/>
    </row>
    <row r="131" spans="1:12" s="37" customFormat="1" x14ac:dyDescent="0.25">
      <c r="A131" s="30">
        <f>IF(F131&lt;&gt;"",1+MAX($A$7:A130),"")</f>
        <v>88</v>
      </c>
      <c r="B131" s="31"/>
      <c r="C131" s="118" t="s">
        <v>70</v>
      </c>
      <c r="D131" s="105">
        <f>3.14*2.5*4*1/27*3</f>
        <v>3.4888888888888889</v>
      </c>
      <c r="E131" s="28">
        <v>0.1</v>
      </c>
      <c r="F131" s="106">
        <f t="shared" si="68"/>
        <v>3.8377777777777782</v>
      </c>
      <c r="G131" s="29" t="s">
        <v>48</v>
      </c>
      <c r="H131" s="29"/>
      <c r="I131" s="29"/>
      <c r="J131" s="33"/>
      <c r="K131" s="34">
        <f t="shared" si="69"/>
        <v>0</v>
      </c>
      <c r="L131" s="35"/>
    </row>
    <row r="132" spans="1:12" s="37" customFormat="1" x14ac:dyDescent="0.25">
      <c r="A132" s="30">
        <f>IF(F132&lt;&gt;"",1+MAX($A$7:A131),"")</f>
        <v>89</v>
      </c>
      <c r="B132" s="31"/>
      <c r="C132" s="118" t="s">
        <v>71</v>
      </c>
      <c r="D132" s="41">
        <f>3.14*2.25*4.5*3</f>
        <v>95.377499999999998</v>
      </c>
      <c r="E132" s="28">
        <v>0.1</v>
      </c>
      <c r="F132" s="32">
        <f t="shared" si="68"/>
        <v>104.91525</v>
      </c>
      <c r="G132" s="29" t="s">
        <v>74</v>
      </c>
      <c r="H132" s="29"/>
      <c r="I132" s="29"/>
      <c r="J132" s="33"/>
      <c r="K132" s="34">
        <f t="shared" si="69"/>
        <v>0</v>
      </c>
      <c r="L132" s="35"/>
    </row>
    <row r="133" spans="1:12" s="37" customFormat="1" x14ac:dyDescent="0.25">
      <c r="A133" s="30">
        <f>IF(F133&lt;&gt;"",1+MAX($A$7:A132),"")</f>
        <v>90</v>
      </c>
      <c r="B133" s="31"/>
      <c r="C133" s="118" t="s">
        <v>72</v>
      </c>
      <c r="D133" s="105">
        <f>3.14*3.5*4*1/27*3</f>
        <v>4.8844444444444441</v>
      </c>
      <c r="E133" s="28">
        <v>0.1</v>
      </c>
      <c r="F133" s="106">
        <f t="shared" si="68"/>
        <v>5.3728888888888893</v>
      </c>
      <c r="G133" s="29" t="s">
        <v>48</v>
      </c>
      <c r="H133" s="29"/>
      <c r="I133" s="29"/>
      <c r="J133" s="33"/>
      <c r="K133" s="34">
        <f t="shared" si="69"/>
        <v>0</v>
      </c>
      <c r="L133" s="35"/>
    </row>
    <row r="134" spans="1:12" s="37" customFormat="1" x14ac:dyDescent="0.25">
      <c r="A134" s="30">
        <f>IF(F134&lt;&gt;"",1+MAX($A$7:A133),"")</f>
        <v>91</v>
      </c>
      <c r="B134" s="31"/>
      <c r="C134" s="118" t="s">
        <v>73</v>
      </c>
      <c r="D134" s="105">
        <f>D133-D131</f>
        <v>1.3955555555555552</v>
      </c>
      <c r="E134" s="28">
        <v>0.1</v>
      </c>
      <c r="F134" s="106">
        <f t="shared" si="68"/>
        <v>1.5351111111111109</v>
      </c>
      <c r="G134" s="29" t="s">
        <v>48</v>
      </c>
      <c r="H134" s="29"/>
      <c r="I134" s="29"/>
      <c r="J134" s="33"/>
      <c r="K134" s="34">
        <f t="shared" si="69"/>
        <v>0</v>
      </c>
      <c r="L134" s="35"/>
    </row>
    <row r="135" spans="1:12" s="37" customFormat="1" x14ac:dyDescent="0.25">
      <c r="A135" s="30" t="str">
        <f>IF(F135&lt;&gt;"",1+MAX($A$7:A134),"")</f>
        <v/>
      </c>
      <c r="B135" s="31"/>
      <c r="C135" s="137" t="s">
        <v>85</v>
      </c>
      <c r="D135" s="105"/>
      <c r="E135" s="28"/>
      <c r="F135" s="106"/>
      <c r="G135" s="29"/>
      <c r="H135" s="29"/>
      <c r="I135" s="29"/>
      <c r="J135" s="33"/>
      <c r="K135" s="34"/>
      <c r="L135" s="35"/>
    </row>
    <row r="136" spans="1:12" s="37" customFormat="1" x14ac:dyDescent="0.25">
      <c r="A136" s="30" t="str">
        <f>IF(F136&lt;&gt;"",1+MAX($A$7:A135),"")</f>
        <v/>
      </c>
      <c r="B136" s="31"/>
      <c r="D136" s="41"/>
      <c r="E136" s="28"/>
      <c r="F136" s="32"/>
      <c r="G136" s="29"/>
      <c r="H136" s="29"/>
      <c r="I136" s="29"/>
      <c r="J136" s="33"/>
      <c r="K136" s="34"/>
      <c r="L136" s="35"/>
    </row>
    <row r="137" spans="1:12" s="37" customFormat="1" x14ac:dyDescent="0.25">
      <c r="A137" s="30" t="str">
        <f>IF(F137&lt;&gt;"",1+MAX($A$7:A136),"")</f>
        <v/>
      </c>
      <c r="B137" s="31"/>
      <c r="C137" s="120" t="s">
        <v>80</v>
      </c>
      <c r="D137" s="41"/>
      <c r="E137" s="28"/>
      <c r="F137" s="32"/>
      <c r="G137" s="29"/>
      <c r="H137" s="29"/>
      <c r="I137" s="29"/>
      <c r="J137" s="33"/>
      <c r="K137" s="34"/>
      <c r="L137" s="35"/>
    </row>
    <row r="138" spans="1:12" s="37" customFormat="1" x14ac:dyDescent="0.25">
      <c r="A138" s="30">
        <f>IF(F138&lt;&gt;"",1+MAX($A$7:A137),"")</f>
        <v>92</v>
      </c>
      <c r="B138" s="31"/>
      <c r="C138" s="118" t="s">
        <v>105</v>
      </c>
      <c r="D138" s="41">
        <v>1210</v>
      </c>
      <c r="E138" s="28">
        <v>0.1</v>
      </c>
      <c r="F138" s="32">
        <f t="shared" si="68"/>
        <v>1331</v>
      </c>
      <c r="G138" s="29" t="s">
        <v>42</v>
      </c>
      <c r="H138" s="29"/>
      <c r="I138" s="29"/>
      <c r="J138" s="33"/>
      <c r="K138" s="34">
        <f t="shared" si="69"/>
        <v>0</v>
      </c>
      <c r="L138" s="35"/>
    </row>
    <row r="139" spans="1:12" s="37" customFormat="1" x14ac:dyDescent="0.25">
      <c r="A139" s="30">
        <f>IF(F139&lt;&gt;"",1+MAX($A$7:A138),"")</f>
        <v>93</v>
      </c>
      <c r="B139" s="31"/>
      <c r="C139" s="118" t="s">
        <v>66</v>
      </c>
      <c r="D139" s="41">
        <f>200</f>
        <v>200</v>
      </c>
      <c r="E139" s="28">
        <v>0.1</v>
      </c>
      <c r="F139" s="32">
        <f t="shared" ref="F139" si="72">D139*(1+E139)</f>
        <v>220.00000000000003</v>
      </c>
      <c r="G139" s="29" t="s">
        <v>40</v>
      </c>
      <c r="H139" s="29"/>
      <c r="I139" s="29"/>
      <c r="J139" s="33"/>
      <c r="K139" s="34">
        <f t="shared" ref="K139" si="73">J139*F139</f>
        <v>0</v>
      </c>
      <c r="L139" s="35"/>
    </row>
    <row r="140" spans="1:12" s="37" customFormat="1" x14ac:dyDescent="0.25">
      <c r="A140" s="30">
        <f>IF(F140&lt;&gt;"",1+MAX($A$7:A139),"")</f>
        <v>94</v>
      </c>
      <c r="B140" s="31"/>
      <c r="C140" s="118" t="s">
        <v>83</v>
      </c>
      <c r="D140" s="41">
        <f>0.668*1.2*2*D138/1.33</f>
        <v>1458.5503759398493</v>
      </c>
      <c r="E140" s="28">
        <v>0.1</v>
      </c>
      <c r="F140" s="32">
        <f t="shared" ref="F140" si="74">D140*(1+E140)</f>
        <v>1604.4054135338345</v>
      </c>
      <c r="G140" s="29" t="s">
        <v>60</v>
      </c>
      <c r="H140" s="29"/>
      <c r="I140" s="29"/>
      <c r="J140" s="33"/>
      <c r="K140" s="34">
        <f t="shared" ref="K140" si="75">J140*F140</f>
        <v>0</v>
      </c>
      <c r="L140" s="35"/>
    </row>
    <row r="141" spans="1:12" s="37" customFormat="1" x14ac:dyDescent="0.25">
      <c r="A141" s="30">
        <f>IF(F141&lt;&gt;"",1+MAX($A$7:A140),"")</f>
        <v>95</v>
      </c>
      <c r="B141" s="31"/>
      <c r="C141" s="118" t="s">
        <v>62</v>
      </c>
      <c r="D141" s="41">
        <f>D138*0.33/27</f>
        <v>14.78888888888889</v>
      </c>
      <c r="E141" s="28">
        <v>0.1</v>
      </c>
      <c r="F141" s="32">
        <f t="shared" ref="F141" si="76">D141*(1+E141)</f>
        <v>16.267777777777781</v>
      </c>
      <c r="G141" s="29" t="s">
        <v>48</v>
      </c>
      <c r="H141" s="29"/>
      <c r="I141" s="29"/>
      <c r="J141" s="33"/>
      <c r="K141" s="34">
        <f t="shared" ref="K141" si="77">J141*F141</f>
        <v>0</v>
      </c>
      <c r="L141" s="35"/>
    </row>
    <row r="142" spans="1:12" s="37" customFormat="1" x14ac:dyDescent="0.25">
      <c r="A142" s="30">
        <f>IF(F142&lt;&gt;"",1+MAX($A$7:A141),"")</f>
        <v>96</v>
      </c>
      <c r="B142" s="31"/>
      <c r="C142" s="118" t="s">
        <v>58</v>
      </c>
      <c r="D142" s="41">
        <f>0.16*D138</f>
        <v>193.6</v>
      </c>
      <c r="E142" s="28">
        <v>0.1</v>
      </c>
      <c r="F142" s="32">
        <f t="shared" ref="F142" si="78">D142*(1+E142)</f>
        <v>212.96</v>
      </c>
      <c r="G142" s="29" t="s">
        <v>40</v>
      </c>
      <c r="H142" s="29"/>
      <c r="I142" s="29"/>
      <c r="J142" s="33"/>
      <c r="K142" s="34">
        <f t="shared" ref="K142" si="79">J142*F142</f>
        <v>0</v>
      </c>
      <c r="L142" s="35"/>
    </row>
    <row r="143" spans="1:12" s="37" customFormat="1" x14ac:dyDescent="0.25">
      <c r="A143" s="30">
        <f>IF(F143&lt;&gt;"",1+MAX($A$7:A142),"")</f>
        <v>97</v>
      </c>
      <c r="B143" s="31"/>
      <c r="C143" s="118" t="s">
        <v>59</v>
      </c>
      <c r="D143" s="41">
        <f>D139</f>
        <v>200</v>
      </c>
      <c r="E143" s="28">
        <v>0.1</v>
      </c>
      <c r="F143" s="32">
        <f t="shared" ref="F143" si="80">D143*(1+E143)</f>
        <v>220.00000000000003</v>
      </c>
      <c r="G143" s="29" t="s">
        <v>40</v>
      </c>
      <c r="H143" s="29"/>
      <c r="I143" s="29"/>
      <c r="J143" s="33"/>
      <c r="K143" s="34">
        <f t="shared" ref="K143" si="81">J143*F143</f>
        <v>0</v>
      </c>
      <c r="L143" s="35"/>
    </row>
    <row r="144" spans="1:12" s="37" customFormat="1" x14ac:dyDescent="0.25">
      <c r="A144" s="30" t="str">
        <f>IF(F144&lt;&gt;"",1+MAX($A$7:A143),"")</f>
        <v/>
      </c>
      <c r="B144" s="31"/>
      <c r="C144" s="137" t="s">
        <v>238</v>
      </c>
      <c r="D144" s="41"/>
      <c r="E144" s="28"/>
      <c r="F144" s="32"/>
      <c r="G144" s="29"/>
      <c r="H144" s="29"/>
      <c r="I144" s="29"/>
      <c r="J144" s="33"/>
      <c r="K144" s="34"/>
      <c r="L144" s="35"/>
    </row>
    <row r="145" spans="1:12" s="37" customFormat="1" x14ac:dyDescent="0.25">
      <c r="A145" s="30" t="str">
        <f>IF(F145&lt;&gt;"",1+MAX($A$7:A144),"")</f>
        <v/>
      </c>
      <c r="B145" s="31"/>
      <c r="D145" s="41"/>
      <c r="E145" s="28"/>
      <c r="F145" s="32"/>
      <c r="G145" s="29"/>
      <c r="H145" s="29"/>
      <c r="I145" s="29"/>
      <c r="J145" s="33"/>
      <c r="K145" s="34"/>
      <c r="L145" s="35"/>
    </row>
    <row r="146" spans="1:12" s="37" customFormat="1" x14ac:dyDescent="0.25">
      <c r="A146" s="30" t="str">
        <f>IF(F146&lt;&gt;"",1+MAX($A$7:A145),"")</f>
        <v/>
      </c>
      <c r="B146" s="31"/>
      <c r="C146" s="91" t="s">
        <v>81</v>
      </c>
      <c r="D146" s="41"/>
      <c r="E146" s="28"/>
      <c r="F146" s="32"/>
      <c r="G146" s="29"/>
      <c r="H146" s="29"/>
      <c r="I146" s="29"/>
      <c r="J146" s="33"/>
      <c r="K146" s="34"/>
      <c r="L146" s="35"/>
    </row>
    <row r="147" spans="1:12" s="37" customFormat="1" x14ac:dyDescent="0.25">
      <c r="A147" s="30">
        <f>IF(F147&lt;&gt;"",1+MAX($A$7:A146),"")</f>
        <v>98</v>
      </c>
      <c r="B147" s="31"/>
      <c r="C147" s="121" t="s">
        <v>235</v>
      </c>
      <c r="D147" s="41">
        <f>96*8</f>
        <v>768</v>
      </c>
      <c r="E147" s="28">
        <v>0.1</v>
      </c>
      <c r="F147" s="32">
        <f t="shared" ref="F147" si="82">D147*(1+E147)</f>
        <v>844.80000000000007</v>
      </c>
      <c r="G147" s="29" t="s">
        <v>42</v>
      </c>
      <c r="H147" s="29"/>
      <c r="I147" s="29"/>
      <c r="J147" s="33"/>
      <c r="K147" s="34">
        <f t="shared" ref="K147" si="83">J147*F147</f>
        <v>0</v>
      </c>
      <c r="L147" s="35"/>
    </row>
    <row r="148" spans="1:12" s="37" customFormat="1" x14ac:dyDescent="0.25">
      <c r="A148" s="30" t="str">
        <f>IF(F148&lt;&gt;"",1+MAX($A$7:A147),"")</f>
        <v/>
      </c>
      <c r="B148" s="31"/>
      <c r="C148" s="118"/>
      <c r="D148" s="41"/>
      <c r="E148" s="28"/>
      <c r="F148" s="32"/>
      <c r="G148" s="29"/>
      <c r="H148" s="29"/>
      <c r="I148" s="29"/>
      <c r="J148" s="33"/>
      <c r="K148" s="34"/>
      <c r="L148" s="35"/>
    </row>
    <row r="149" spans="1:12" s="37" customFormat="1" x14ac:dyDescent="0.25">
      <c r="A149" s="30" t="str">
        <f>IF(F149&lt;&gt;"",1+MAX($A$7:A148),"")</f>
        <v/>
      </c>
      <c r="B149" s="31"/>
      <c r="C149" s="91" t="s">
        <v>279</v>
      </c>
      <c r="D149" s="41"/>
      <c r="E149" s="28"/>
      <c r="F149" s="32"/>
      <c r="G149" s="29"/>
      <c r="H149" s="29"/>
      <c r="I149" s="29"/>
      <c r="J149" s="33"/>
      <c r="K149" s="34"/>
      <c r="L149" s="35"/>
    </row>
    <row r="150" spans="1:12" s="37" customFormat="1" x14ac:dyDescent="0.25">
      <c r="A150" s="30">
        <f>IF(F150&lt;&gt;"",1+MAX($A$7:A149),"")</f>
        <v>99</v>
      </c>
      <c r="B150" s="31"/>
      <c r="C150" s="121" t="s">
        <v>280</v>
      </c>
      <c r="D150" s="41">
        <f>410*5</f>
        <v>2050</v>
      </c>
      <c r="E150" s="28">
        <v>0.1</v>
      </c>
      <c r="F150" s="32">
        <f t="shared" ref="F150" si="84">D150*(1+E150)</f>
        <v>2255</v>
      </c>
      <c r="G150" s="29" t="s">
        <v>42</v>
      </c>
      <c r="H150" s="29"/>
      <c r="I150" s="29"/>
      <c r="J150" s="33"/>
      <c r="K150" s="34">
        <f t="shared" ref="K150" si="85">J150*F150</f>
        <v>0</v>
      </c>
      <c r="L150" s="35"/>
    </row>
    <row r="151" spans="1:12" s="37" customFormat="1" x14ac:dyDescent="0.25">
      <c r="A151" s="30">
        <f>IF(F151&lt;&gt;"",1+MAX($A$7:A150),"")</f>
        <v>100</v>
      </c>
      <c r="B151" s="31"/>
      <c r="C151" s="118" t="s">
        <v>282</v>
      </c>
      <c r="D151" s="41">
        <f>410*3</f>
        <v>1230</v>
      </c>
      <c r="E151" s="28">
        <v>0.1</v>
      </c>
      <c r="F151" s="32">
        <f t="shared" ref="F151:F152" si="86">D151*(1+E151)</f>
        <v>1353</v>
      </c>
      <c r="G151" s="29" t="s">
        <v>42</v>
      </c>
      <c r="H151" s="29"/>
      <c r="I151" s="29"/>
      <c r="J151" s="33"/>
      <c r="K151" s="34">
        <f t="shared" ref="K151:K152" si="87">J151*F151</f>
        <v>0</v>
      </c>
      <c r="L151" s="35"/>
    </row>
    <row r="152" spans="1:12" s="37" customFormat="1" x14ac:dyDescent="0.25">
      <c r="A152" s="30">
        <f>IF(F152&lt;&gt;"",1+MAX($A$7:A151),"")</f>
        <v>101</v>
      </c>
      <c r="B152" s="31"/>
      <c r="C152" s="118" t="s">
        <v>281</v>
      </c>
      <c r="D152" s="41">
        <f>410*2</f>
        <v>820</v>
      </c>
      <c r="E152" s="28">
        <v>0.1</v>
      </c>
      <c r="F152" s="32">
        <f t="shared" si="86"/>
        <v>902.00000000000011</v>
      </c>
      <c r="G152" s="29" t="s">
        <v>42</v>
      </c>
      <c r="H152" s="29"/>
      <c r="I152" s="29"/>
      <c r="J152" s="33"/>
      <c r="K152" s="34">
        <f t="shared" si="87"/>
        <v>0</v>
      </c>
      <c r="L152" s="35"/>
    </row>
    <row r="153" spans="1:12" s="37" customFormat="1" x14ac:dyDescent="0.25">
      <c r="A153" s="30" t="str">
        <f>IF(F153&lt;&gt;"",1+MAX($A$7:A152),"")</f>
        <v/>
      </c>
      <c r="B153" s="31"/>
      <c r="C153" s="137" t="s">
        <v>284</v>
      </c>
      <c r="D153" s="41"/>
      <c r="E153" s="28"/>
      <c r="F153" s="32"/>
      <c r="G153" s="29"/>
      <c r="H153" s="29"/>
      <c r="I153" s="29"/>
      <c r="J153" s="33"/>
      <c r="K153" s="34"/>
      <c r="L153" s="35"/>
    </row>
    <row r="154" spans="1:12" s="37" customFormat="1" x14ac:dyDescent="0.25">
      <c r="A154" s="30" t="str">
        <f>IF(F154&lt;&gt;"",1+MAX($A$7:A153),"")</f>
        <v/>
      </c>
      <c r="B154" s="31"/>
      <c r="C154" s="118"/>
      <c r="D154" s="41"/>
      <c r="E154" s="28"/>
      <c r="F154" s="32"/>
      <c r="G154" s="29"/>
      <c r="H154" s="29"/>
      <c r="I154" s="29"/>
      <c r="J154" s="33"/>
      <c r="K154" s="34"/>
      <c r="L154" s="35"/>
    </row>
    <row r="155" spans="1:12" s="37" customFormat="1" x14ac:dyDescent="0.25">
      <c r="A155" s="30" t="str">
        <f>IF(F155&lt;&gt;"",1+MAX($A$7:A154),"")</f>
        <v/>
      </c>
      <c r="B155" s="31"/>
      <c r="C155" s="120" t="s">
        <v>69</v>
      </c>
      <c r="D155" s="41"/>
      <c r="E155" s="28"/>
      <c r="F155" s="32"/>
      <c r="G155" s="29"/>
      <c r="H155" s="29"/>
      <c r="I155" s="29"/>
      <c r="J155" s="33"/>
      <c r="K155" s="34"/>
      <c r="L155" s="35"/>
    </row>
    <row r="156" spans="1:12" s="37" customFormat="1" x14ac:dyDescent="0.25">
      <c r="A156" s="30">
        <f>IF(F156&lt;&gt;"",1+MAX($A$7:A155),"")</f>
        <v>102</v>
      </c>
      <c r="B156" s="31"/>
      <c r="C156" s="118" t="s">
        <v>269</v>
      </c>
      <c r="D156" s="41">
        <f>51405</f>
        <v>51405</v>
      </c>
      <c r="E156" s="28">
        <v>0.1</v>
      </c>
      <c r="F156" s="32">
        <f t="shared" si="68"/>
        <v>56545.500000000007</v>
      </c>
      <c r="G156" s="29" t="s">
        <v>42</v>
      </c>
      <c r="H156" s="29"/>
      <c r="I156" s="29"/>
      <c r="J156" s="33"/>
      <c r="K156" s="34">
        <f t="shared" si="69"/>
        <v>0</v>
      </c>
      <c r="L156" s="35"/>
    </row>
    <row r="157" spans="1:12" s="37" customFormat="1" x14ac:dyDescent="0.25">
      <c r="A157" s="30">
        <f>IF(F157&lt;&gt;"",1+MAX($A$7:A156),"")</f>
        <v>103</v>
      </c>
      <c r="B157" s="31"/>
      <c r="C157" s="118" t="s">
        <v>268</v>
      </c>
      <c r="D157" s="41">
        <f>51405*0.67/27</f>
        <v>1275.6055555555556</v>
      </c>
      <c r="E157" s="28">
        <v>0.1</v>
      </c>
      <c r="F157" s="32">
        <f t="shared" ref="F157" si="88">D157*(1+E157)</f>
        <v>1403.1661111111114</v>
      </c>
      <c r="G157" s="29" t="s">
        <v>48</v>
      </c>
      <c r="H157" s="29"/>
      <c r="I157" s="29"/>
      <c r="J157" s="33"/>
      <c r="K157" s="34">
        <f t="shared" ref="K157" si="89">J157*F157</f>
        <v>0</v>
      </c>
      <c r="L157" s="35"/>
    </row>
    <row r="158" spans="1:12" s="37" customFormat="1" x14ac:dyDescent="0.25">
      <c r="A158" s="30">
        <f>IF(F158&lt;&gt;"",1+MAX($A$7:A157),"")</f>
        <v>104</v>
      </c>
      <c r="B158" s="31"/>
      <c r="C158" s="118" t="s">
        <v>106</v>
      </c>
      <c r="D158" s="41">
        <f>D156</f>
        <v>51405</v>
      </c>
      <c r="E158" s="28">
        <v>0.1</v>
      </c>
      <c r="F158" s="32">
        <f t="shared" ref="F158" si="90">D158*(1+E158)</f>
        <v>56545.500000000007</v>
      </c>
      <c r="G158" s="29" t="s">
        <v>48</v>
      </c>
      <c r="H158" s="29"/>
      <c r="I158" s="29"/>
      <c r="J158" s="33"/>
      <c r="K158" s="34">
        <f t="shared" ref="K158" si="91">J158*F158</f>
        <v>0</v>
      </c>
      <c r="L158" s="35"/>
    </row>
    <row r="159" spans="1:12" s="37" customFormat="1" x14ac:dyDescent="0.25">
      <c r="A159" s="30" t="str">
        <f>IF(F159&lt;&gt;"",1+MAX($A$7:A158),"")</f>
        <v/>
      </c>
      <c r="B159" s="31"/>
      <c r="D159" s="41"/>
      <c r="E159" s="28"/>
      <c r="F159" s="32"/>
      <c r="G159" s="29"/>
      <c r="H159" s="29"/>
      <c r="I159" s="29"/>
      <c r="J159" s="33"/>
      <c r="K159" s="34"/>
      <c r="L159" s="35"/>
    </row>
    <row r="160" spans="1:12" s="6" customFormat="1" x14ac:dyDescent="0.25">
      <c r="A160" s="30" t="str">
        <f>IF(F160&lt;&gt;"",1+MAX($A$7:A159),"")</f>
        <v/>
      </c>
      <c r="B160" s="11"/>
      <c r="C160" s="120" t="s">
        <v>236</v>
      </c>
      <c r="D160" s="41"/>
      <c r="E160" s="28"/>
      <c r="F160" s="32"/>
      <c r="G160" s="29"/>
      <c r="H160" s="29"/>
      <c r="I160" s="29"/>
      <c r="J160" s="33"/>
      <c r="K160" s="34"/>
      <c r="L160" s="5"/>
    </row>
    <row r="161" spans="1:12" s="37" customFormat="1" x14ac:dyDescent="0.25">
      <c r="A161" s="30">
        <f>IF(F161&lt;&gt;"",1+MAX($A$7:A160),"")</f>
        <v>105</v>
      </c>
      <c r="B161" s="31"/>
      <c r="C161" s="118" t="s">
        <v>237</v>
      </c>
      <c r="D161" s="41">
        <v>4</v>
      </c>
      <c r="E161" s="28">
        <v>0</v>
      </c>
      <c r="F161" s="32">
        <f t="shared" ref="F161" si="92">D161*(1+E161)</f>
        <v>4</v>
      </c>
      <c r="G161" s="29" t="s">
        <v>41</v>
      </c>
      <c r="H161" s="29"/>
      <c r="I161" s="29"/>
      <c r="J161" s="33"/>
      <c r="K161" s="34">
        <f t="shared" ref="K161" si="93">J161*F161</f>
        <v>0</v>
      </c>
      <c r="L161" s="35"/>
    </row>
    <row r="162" spans="1:12" s="37" customFormat="1" x14ac:dyDescent="0.25">
      <c r="A162" s="30" t="str">
        <f>IF(F162&lt;&gt;"",1+MAX($A$7:A161),"")</f>
        <v/>
      </c>
      <c r="B162" s="31"/>
      <c r="C162" s="118"/>
      <c r="D162" s="41"/>
      <c r="E162" s="28"/>
      <c r="F162" s="32"/>
      <c r="G162" s="29"/>
      <c r="H162" s="29"/>
      <c r="I162" s="29"/>
      <c r="J162" s="33"/>
      <c r="K162" s="34"/>
      <c r="L162" s="35"/>
    </row>
    <row r="163" spans="1:12" s="6" customFormat="1" x14ac:dyDescent="0.25">
      <c r="A163" s="30" t="str">
        <f>IF(F163&lt;&gt;"",1+MAX($A$7:A162),"")</f>
        <v/>
      </c>
      <c r="B163" s="11"/>
      <c r="C163" s="120" t="s">
        <v>255</v>
      </c>
      <c r="D163" s="41"/>
      <c r="E163" s="28"/>
      <c r="F163" s="32"/>
      <c r="G163" s="29"/>
      <c r="H163" s="29"/>
      <c r="I163" s="29"/>
      <c r="J163" s="33"/>
      <c r="K163" s="34"/>
      <c r="L163" s="5"/>
    </row>
    <row r="164" spans="1:12" s="37" customFormat="1" x14ac:dyDescent="0.25">
      <c r="A164" s="30">
        <f>IF(F164&lt;&gt;"",1+MAX($A$7:A163),"")</f>
        <v>106</v>
      </c>
      <c r="B164" s="31"/>
      <c r="C164" s="118" t="s">
        <v>256</v>
      </c>
      <c r="D164" s="41">
        <v>5</v>
      </c>
      <c r="E164" s="28">
        <v>0</v>
      </c>
      <c r="F164" s="32">
        <f t="shared" ref="F164" si="94">D164*(1+E164)</f>
        <v>5</v>
      </c>
      <c r="G164" s="29" t="s">
        <v>41</v>
      </c>
      <c r="H164" s="29"/>
      <c r="I164" s="29"/>
      <c r="J164" s="33"/>
      <c r="K164" s="34">
        <f t="shared" ref="K164" si="95">J164*F164</f>
        <v>0</v>
      </c>
      <c r="L164" s="35"/>
    </row>
    <row r="165" spans="1:12" s="37" customFormat="1" x14ac:dyDescent="0.25">
      <c r="A165" s="30">
        <f>IF(F165&lt;&gt;"",1+MAX($A$7:A164),"")</f>
        <v>107</v>
      </c>
      <c r="B165" s="31"/>
      <c r="C165" s="118" t="s">
        <v>265</v>
      </c>
      <c r="D165" s="41">
        <v>1</v>
      </c>
      <c r="E165" s="28">
        <v>0</v>
      </c>
      <c r="F165" s="32">
        <f t="shared" ref="F165:F166" si="96">D165*(1+E165)</f>
        <v>1</v>
      </c>
      <c r="G165" s="29" t="s">
        <v>41</v>
      </c>
      <c r="H165" s="29"/>
      <c r="I165" s="29"/>
      <c r="J165" s="33"/>
      <c r="K165" s="34">
        <f t="shared" ref="K165" si="97">J165*F165</f>
        <v>0</v>
      </c>
      <c r="L165" s="35"/>
    </row>
    <row r="166" spans="1:12" s="37" customFormat="1" x14ac:dyDescent="0.25">
      <c r="A166" s="30">
        <f>IF(F166&lt;&gt;"",1+MAX($A$7:A165),"")</f>
        <v>108</v>
      </c>
      <c r="B166" s="31"/>
      <c r="C166" s="118" t="s">
        <v>283</v>
      </c>
      <c r="D166" s="41">
        <v>410</v>
      </c>
      <c r="E166" s="28">
        <v>0.1</v>
      </c>
      <c r="F166" s="32">
        <f t="shared" si="96"/>
        <v>451.00000000000006</v>
      </c>
      <c r="G166" s="29" t="s">
        <v>40</v>
      </c>
      <c r="H166" s="29"/>
      <c r="I166" s="29"/>
      <c r="J166" s="33"/>
      <c r="K166" s="34">
        <f t="shared" ref="K166" si="98">J166*F166</f>
        <v>0</v>
      </c>
      <c r="L166" s="35"/>
    </row>
    <row r="167" spans="1:12" s="37" customFormat="1" x14ac:dyDescent="0.25">
      <c r="A167" s="30" t="str">
        <f>IF(F167&lt;&gt;"",1+MAX($A$7:A166),"")</f>
        <v/>
      </c>
      <c r="B167" s="31"/>
      <c r="D167" s="41"/>
      <c r="E167" s="28"/>
      <c r="F167" s="32"/>
      <c r="G167" s="29"/>
      <c r="H167" s="29"/>
      <c r="I167" s="29"/>
      <c r="J167" s="33"/>
      <c r="K167" s="34"/>
      <c r="L167" s="35"/>
    </row>
    <row r="168" spans="1:12" x14ac:dyDescent="0.25">
      <c r="A168" s="30" t="str">
        <f>IF(F168&lt;&gt;"",1+MAX($A$7:A167),"")</f>
        <v/>
      </c>
      <c r="B168" s="107"/>
      <c r="C168" s="91" t="s">
        <v>103</v>
      </c>
      <c r="D168" s="41"/>
      <c r="E168" s="111"/>
      <c r="F168" s="112"/>
      <c r="G168" s="113"/>
      <c r="H168" s="113"/>
      <c r="I168" s="113"/>
      <c r="J168" s="114"/>
      <c r="K168" s="115"/>
      <c r="L168" s="110"/>
    </row>
    <row r="169" spans="1:12" x14ac:dyDescent="0.25">
      <c r="A169" s="30">
        <f>IF(F169&lt;&gt;"",1+MAX($A$7:A168),"")</f>
        <v>109</v>
      </c>
      <c r="B169" s="107"/>
      <c r="C169" s="118" t="s">
        <v>165</v>
      </c>
      <c r="D169" s="41">
        <v>2655</v>
      </c>
      <c r="E169" s="111">
        <v>0.1</v>
      </c>
      <c r="F169" s="112">
        <f t="shared" ref="F169" si="99">D169*(1+E169)</f>
        <v>2920.5000000000005</v>
      </c>
      <c r="G169" s="113" t="s">
        <v>40</v>
      </c>
      <c r="H169" s="113"/>
      <c r="I169" s="113"/>
      <c r="J169" s="114"/>
      <c r="K169" s="115">
        <f t="shared" ref="K169" si="100">J169*F169</f>
        <v>0</v>
      </c>
      <c r="L169" s="110"/>
    </row>
    <row r="170" spans="1:12" x14ac:dyDescent="0.25">
      <c r="A170" s="30">
        <f>IF(F170&lt;&gt;"",1+MAX($A$7:A169),"")</f>
        <v>110</v>
      </c>
      <c r="B170" s="107"/>
      <c r="C170" s="118" t="s">
        <v>274</v>
      </c>
      <c r="D170" s="41">
        <v>58</v>
      </c>
      <c r="E170" s="111">
        <v>0.1</v>
      </c>
      <c r="F170" s="112">
        <f t="shared" ref="F170" si="101">D170*(1+E170)</f>
        <v>63.800000000000004</v>
      </c>
      <c r="G170" s="113" t="s">
        <v>40</v>
      </c>
      <c r="H170" s="113"/>
      <c r="I170" s="113"/>
      <c r="J170" s="114"/>
      <c r="K170" s="115">
        <f t="shared" ref="K170" si="102">J170*F170</f>
        <v>0</v>
      </c>
      <c r="L170" s="110"/>
    </row>
    <row r="171" spans="1:12" x14ac:dyDescent="0.25">
      <c r="A171" s="30">
        <f>IF(F171&lt;&gt;"",1+MAX($A$7:A170),"")</f>
        <v>111</v>
      </c>
      <c r="B171" s="107"/>
      <c r="C171" s="118" t="s">
        <v>275</v>
      </c>
      <c r="D171" s="41">
        <v>115</v>
      </c>
      <c r="E171" s="111">
        <v>0.1</v>
      </c>
      <c r="F171" s="112">
        <f t="shared" ref="F171" si="103">D171*(1+E171)</f>
        <v>126.50000000000001</v>
      </c>
      <c r="G171" s="113" t="s">
        <v>40</v>
      </c>
      <c r="H171" s="113"/>
      <c r="I171" s="113"/>
      <c r="J171" s="114"/>
      <c r="K171" s="115">
        <f t="shared" ref="K171" si="104">J171*F171</f>
        <v>0</v>
      </c>
      <c r="L171" s="110"/>
    </row>
    <row r="172" spans="1:12" x14ac:dyDescent="0.25">
      <c r="A172" s="30">
        <f>IF(F172&lt;&gt;"",1+MAX($A$7:A171),"")</f>
        <v>112</v>
      </c>
      <c r="B172" s="107"/>
      <c r="C172" s="118" t="s">
        <v>276</v>
      </c>
      <c r="D172" s="41">
        <v>655</v>
      </c>
      <c r="E172" s="111">
        <v>0.1</v>
      </c>
      <c r="F172" s="112">
        <f t="shared" ref="F172" si="105">D172*(1+E172)</f>
        <v>720.50000000000011</v>
      </c>
      <c r="G172" s="113" t="s">
        <v>40</v>
      </c>
      <c r="H172" s="113"/>
      <c r="I172" s="113"/>
      <c r="J172" s="114"/>
      <c r="K172" s="115">
        <f t="shared" ref="K172" si="106">J172*F172</f>
        <v>0</v>
      </c>
      <c r="L172" s="110"/>
    </row>
    <row r="173" spans="1:12" x14ac:dyDescent="0.25">
      <c r="A173" s="30">
        <f>IF(F173&lt;&gt;"",1+MAX($A$7:A172),"")</f>
        <v>113</v>
      </c>
      <c r="B173" s="107"/>
      <c r="C173" s="118" t="s">
        <v>277</v>
      </c>
      <c r="D173" s="41">
        <v>545</v>
      </c>
      <c r="E173" s="111">
        <v>0.1</v>
      </c>
      <c r="F173" s="112">
        <f t="shared" ref="F173" si="107">D173*(1+E173)</f>
        <v>599.5</v>
      </c>
      <c r="G173" s="113" t="s">
        <v>40</v>
      </c>
      <c r="H173" s="113"/>
      <c r="I173" s="113"/>
      <c r="J173" s="114"/>
      <c r="K173" s="115">
        <f t="shared" ref="K173" si="108">J173*F173</f>
        <v>0</v>
      </c>
      <c r="L173" s="110"/>
    </row>
    <row r="174" spans="1:12" x14ac:dyDescent="0.25">
      <c r="A174" s="30">
        <f>IF(F174&lt;&gt;"",1+MAX($A$7:A173),"")</f>
        <v>114</v>
      </c>
      <c r="B174" s="107"/>
      <c r="C174" s="118" t="s">
        <v>278</v>
      </c>
      <c r="D174" s="41">
        <v>665</v>
      </c>
      <c r="E174" s="111">
        <v>0.1</v>
      </c>
      <c r="F174" s="112">
        <f t="shared" ref="F174" si="109">D174*(1+E174)</f>
        <v>731.50000000000011</v>
      </c>
      <c r="G174" s="113" t="s">
        <v>40</v>
      </c>
      <c r="H174" s="113"/>
      <c r="I174" s="113"/>
      <c r="J174" s="114"/>
      <c r="K174" s="115">
        <f t="shared" ref="K174" si="110">J174*F174</f>
        <v>0</v>
      </c>
      <c r="L174" s="110"/>
    </row>
    <row r="175" spans="1:12" x14ac:dyDescent="0.25">
      <c r="A175" s="30" t="str">
        <f>IF(F175&lt;&gt;"",1+MAX($A$7:A174),"")</f>
        <v/>
      </c>
      <c r="B175" s="107"/>
      <c r="C175" s="120" t="s">
        <v>100</v>
      </c>
      <c r="D175" s="41"/>
      <c r="E175" s="111"/>
      <c r="F175" s="112"/>
      <c r="G175" s="113"/>
      <c r="H175" s="113"/>
      <c r="I175" s="113"/>
      <c r="J175" s="114"/>
      <c r="K175" s="115"/>
      <c r="L175" s="110"/>
    </row>
    <row r="176" spans="1:12" x14ac:dyDescent="0.25">
      <c r="A176" s="30">
        <f>IF(F176&lt;&gt;"",1+MAX($A$7:A175),"")</f>
        <v>115</v>
      </c>
      <c r="B176" s="107"/>
      <c r="C176" s="118" t="s">
        <v>72</v>
      </c>
      <c r="D176" s="104">
        <f>4693*1*3/27</f>
        <v>521.44444444444446</v>
      </c>
      <c r="E176" s="111">
        <v>0.1</v>
      </c>
      <c r="F176" s="112">
        <f t="shared" ref="F176:F177" si="111">D176*(1+E176)</f>
        <v>573.58888888888896</v>
      </c>
      <c r="G176" s="113" t="s">
        <v>48</v>
      </c>
      <c r="H176" s="113"/>
      <c r="I176" s="113"/>
      <c r="J176" s="114"/>
      <c r="K176" s="115">
        <f t="shared" ref="K176:K177" si="112">J176*F176</f>
        <v>0</v>
      </c>
      <c r="L176" s="110"/>
    </row>
    <row r="177" spans="1:12" x14ac:dyDescent="0.25">
      <c r="A177" s="30">
        <f>IF(F177&lt;&gt;"",1+MAX($A$7:A176),"")</f>
        <v>116</v>
      </c>
      <c r="B177" s="107"/>
      <c r="C177" s="118" t="s">
        <v>73</v>
      </c>
      <c r="D177" s="104">
        <f>D176-500*0.25*0.25*0.25*3.14/27</f>
        <v>520.53587962962968</v>
      </c>
      <c r="E177" s="111">
        <v>0.1</v>
      </c>
      <c r="F177" s="112">
        <f t="shared" si="111"/>
        <v>572.58946759259265</v>
      </c>
      <c r="G177" s="113" t="s">
        <v>48</v>
      </c>
      <c r="H177" s="113"/>
      <c r="I177" s="113"/>
      <c r="J177" s="114"/>
      <c r="K177" s="115">
        <f t="shared" si="112"/>
        <v>0</v>
      </c>
      <c r="L177" s="110"/>
    </row>
    <row r="178" spans="1:12" x14ac:dyDescent="0.25">
      <c r="A178" s="30" t="str">
        <f>IF(F178&lt;&gt;"",1+MAX($A$7:A177),"")</f>
        <v/>
      </c>
      <c r="B178" s="107"/>
      <c r="C178" s="137" t="s">
        <v>101</v>
      </c>
      <c r="D178" s="41"/>
      <c r="E178" s="111"/>
      <c r="F178" s="112"/>
      <c r="G178" s="113"/>
      <c r="H178" s="113"/>
      <c r="I178" s="113"/>
      <c r="J178" s="114"/>
      <c r="K178" s="115"/>
      <c r="L178" s="110"/>
    </row>
    <row r="179" spans="1:12" x14ac:dyDescent="0.25">
      <c r="A179" s="30" t="str">
        <f>IF(F179&lt;&gt;"",1+MAX($A$7:A178),"")</f>
        <v/>
      </c>
      <c r="B179" s="107"/>
      <c r="C179" s="118"/>
      <c r="D179" s="41"/>
      <c r="E179" s="111"/>
      <c r="F179" s="112"/>
      <c r="G179" s="113"/>
      <c r="H179" s="113"/>
      <c r="I179" s="113"/>
      <c r="J179" s="114"/>
      <c r="K179" s="115"/>
      <c r="L179" s="110"/>
    </row>
    <row r="180" spans="1:12" x14ac:dyDescent="0.25">
      <c r="A180" s="30">
        <f>IF(F180&lt;&gt;"",1+MAX($A$7:A179),"")</f>
        <v>117</v>
      </c>
      <c r="B180" s="107"/>
      <c r="C180" s="118" t="s">
        <v>163</v>
      </c>
      <c r="D180" s="41">
        <v>1980</v>
      </c>
      <c r="E180" s="111">
        <v>0.1</v>
      </c>
      <c r="F180" s="112">
        <f t="shared" ref="F180" si="113">D180*(1+E180)</f>
        <v>2178</v>
      </c>
      <c r="G180" s="113" t="s">
        <v>40</v>
      </c>
      <c r="H180" s="113"/>
      <c r="I180" s="113"/>
      <c r="J180" s="114"/>
      <c r="K180" s="115">
        <f t="shared" ref="K180" si="114">J180*F180</f>
        <v>0</v>
      </c>
      <c r="L180" s="110"/>
    </row>
    <row r="181" spans="1:12" x14ac:dyDescent="0.25">
      <c r="A181" s="30">
        <f>IF(F181&lt;&gt;"",1+MAX($A$7:A180),"")</f>
        <v>118</v>
      </c>
      <c r="B181" s="107"/>
      <c r="C181" s="118" t="s">
        <v>164</v>
      </c>
      <c r="D181" s="41">
        <v>1470</v>
      </c>
      <c r="E181" s="111">
        <v>0.1</v>
      </c>
      <c r="F181" s="112">
        <f t="shared" ref="F181" si="115">D181*(1+E181)</f>
        <v>1617.0000000000002</v>
      </c>
      <c r="G181" s="113" t="s">
        <v>40</v>
      </c>
      <c r="H181" s="113"/>
      <c r="I181" s="113"/>
      <c r="J181" s="114"/>
      <c r="K181" s="115">
        <f t="shared" ref="K181" si="116">J181*F181</f>
        <v>0</v>
      </c>
      <c r="L181" s="110"/>
    </row>
    <row r="182" spans="1:12" x14ac:dyDescent="0.25">
      <c r="A182" s="30" t="str">
        <f>IF(F182&lt;&gt;"",1+MAX($A$7:A181),"")</f>
        <v/>
      </c>
      <c r="B182" s="107"/>
      <c r="C182" s="120" t="s">
        <v>102</v>
      </c>
      <c r="D182" s="41"/>
      <c r="E182" s="111"/>
      <c r="F182" s="112"/>
      <c r="G182" s="113"/>
      <c r="H182" s="113"/>
      <c r="I182" s="113"/>
      <c r="J182" s="114"/>
      <c r="K182" s="115"/>
      <c r="L182" s="110"/>
    </row>
    <row r="183" spans="1:12" x14ac:dyDescent="0.25">
      <c r="A183" s="30">
        <f>IF(F183&lt;&gt;"",1+MAX($A$7:A182),"")</f>
        <v>119</v>
      </c>
      <c r="B183" s="107"/>
      <c r="C183" s="118" t="s">
        <v>72</v>
      </c>
      <c r="D183" s="41">
        <f>3450*2.5*8/27</f>
        <v>2555.5555555555557</v>
      </c>
      <c r="E183" s="111">
        <v>0.1</v>
      </c>
      <c r="F183" s="112">
        <f t="shared" ref="F183:F185" si="117">D183*(1+E183)</f>
        <v>2811.1111111111113</v>
      </c>
      <c r="G183" s="113" t="s">
        <v>48</v>
      </c>
      <c r="H183" s="113"/>
      <c r="I183" s="113"/>
      <c r="J183" s="114"/>
      <c r="K183" s="115">
        <f t="shared" ref="K183:K185" si="118">J183*F183</f>
        <v>0</v>
      </c>
      <c r="L183" s="110"/>
    </row>
    <row r="184" spans="1:12" x14ac:dyDescent="0.25">
      <c r="A184" s="30">
        <f>IF(F184&lt;&gt;"",1+MAX($A$7:A183),"")</f>
        <v>120</v>
      </c>
      <c r="B184" s="107"/>
      <c r="C184" s="118" t="s">
        <v>78</v>
      </c>
      <c r="D184" s="41">
        <f>3450*0.67*0.5/27</f>
        <v>42.805555555555557</v>
      </c>
      <c r="E184" s="111">
        <v>0.1</v>
      </c>
      <c r="F184" s="112">
        <f t="shared" si="117"/>
        <v>47.086111111111116</v>
      </c>
      <c r="G184" s="113" t="s">
        <v>48</v>
      </c>
      <c r="H184" s="113"/>
      <c r="I184" s="113"/>
      <c r="J184" s="114"/>
      <c r="K184" s="115">
        <f t="shared" si="118"/>
        <v>0</v>
      </c>
      <c r="L184" s="110"/>
    </row>
    <row r="185" spans="1:12" x14ac:dyDescent="0.25">
      <c r="A185" s="30">
        <f>IF(F185&lt;&gt;"",1+MAX($A$7:A184),"")</f>
        <v>121</v>
      </c>
      <c r="B185" s="107"/>
      <c r="C185" s="118" t="s">
        <v>73</v>
      </c>
      <c r="D185" s="41">
        <f>D183-D184-167*0.67*0.67*0.25/27*3.14</f>
        <v>2510.5704242407405</v>
      </c>
      <c r="E185" s="111">
        <v>0.1</v>
      </c>
      <c r="F185" s="112">
        <f t="shared" si="117"/>
        <v>2761.6274666648146</v>
      </c>
      <c r="G185" s="113" t="s">
        <v>48</v>
      </c>
      <c r="H185" s="113"/>
      <c r="I185" s="113"/>
      <c r="J185" s="114"/>
      <c r="K185" s="115">
        <f t="shared" si="118"/>
        <v>0</v>
      </c>
      <c r="L185" s="110"/>
    </row>
    <row r="186" spans="1:12" x14ac:dyDescent="0.25">
      <c r="A186" s="30" t="str">
        <f>IF(F186&lt;&gt;"",1+MAX($A$7:A185),"")</f>
        <v/>
      </c>
      <c r="B186" s="107"/>
      <c r="C186" s="137" t="s">
        <v>101</v>
      </c>
      <c r="D186" s="41"/>
      <c r="E186" s="111"/>
      <c r="F186" s="112"/>
      <c r="G186" s="113"/>
      <c r="H186" s="113"/>
      <c r="I186" s="113"/>
      <c r="J186" s="114"/>
      <c r="K186" s="115"/>
      <c r="L186" s="110"/>
    </row>
    <row r="187" spans="1:12" x14ac:dyDescent="0.25">
      <c r="A187" s="30" t="str">
        <f>IF(F187&lt;&gt;"",1+MAX($A$7:A186),"")</f>
        <v/>
      </c>
      <c r="B187" s="107"/>
      <c r="C187" s="37"/>
      <c r="D187" s="41"/>
      <c r="E187" s="111"/>
      <c r="F187" s="112"/>
      <c r="G187" s="113"/>
      <c r="H187" s="113"/>
      <c r="I187" s="113"/>
      <c r="J187" s="114"/>
      <c r="K187" s="115"/>
      <c r="L187" s="110"/>
    </row>
    <row r="188" spans="1:12" ht="30" x14ac:dyDescent="0.25">
      <c r="A188" s="30">
        <f>IF(F188&lt;&gt;"",1+MAX($A$7:A187),"")</f>
        <v>122</v>
      </c>
      <c r="B188" s="107"/>
      <c r="C188" s="121" t="s">
        <v>156</v>
      </c>
      <c r="D188" s="41">
        <v>1</v>
      </c>
      <c r="E188" s="111">
        <v>0</v>
      </c>
      <c r="F188" s="112">
        <f t="shared" ref="F188:F189" si="119">D188*(1+E188)</f>
        <v>1</v>
      </c>
      <c r="G188" s="113" t="s">
        <v>41</v>
      </c>
      <c r="H188" s="113"/>
      <c r="I188" s="113"/>
      <c r="J188" s="114"/>
      <c r="K188" s="115">
        <f t="shared" ref="K188:K189" si="120">J188*F188</f>
        <v>0</v>
      </c>
      <c r="L188" s="110"/>
    </row>
    <row r="189" spans="1:12" x14ac:dyDescent="0.25">
      <c r="A189" s="30">
        <f>IF(F189&lt;&gt;"",1+MAX($A$7:A188),"")</f>
        <v>123</v>
      </c>
      <c r="B189" s="107"/>
      <c r="C189" s="118" t="s">
        <v>157</v>
      </c>
      <c r="D189" s="41">
        <v>1</v>
      </c>
      <c r="E189" s="111">
        <v>0</v>
      </c>
      <c r="F189" s="112">
        <f t="shared" si="119"/>
        <v>1</v>
      </c>
      <c r="G189" s="113" t="s">
        <v>41</v>
      </c>
      <c r="H189" s="113"/>
      <c r="I189" s="113"/>
      <c r="J189" s="114"/>
      <c r="K189" s="115">
        <f t="shared" si="120"/>
        <v>0</v>
      </c>
      <c r="L189" s="110"/>
    </row>
    <row r="190" spans="1:12" x14ac:dyDescent="0.25">
      <c r="A190" s="30">
        <f>IF(F190&lt;&gt;"",1+MAX($A$7:A189),"")</f>
        <v>124</v>
      </c>
      <c r="B190" s="107"/>
      <c r="C190" s="118" t="s">
        <v>161</v>
      </c>
      <c r="D190" s="41">
        <v>80</v>
      </c>
      <c r="E190" s="111">
        <v>0</v>
      </c>
      <c r="F190" s="112">
        <f t="shared" ref="F190:F209" si="121">D190*(1+E190)</f>
        <v>80</v>
      </c>
      <c r="G190" s="113" t="s">
        <v>41</v>
      </c>
      <c r="H190" s="113"/>
      <c r="I190" s="113"/>
      <c r="J190" s="114"/>
      <c r="K190" s="115">
        <f t="shared" ref="K190:K209" si="122">J190*F190</f>
        <v>0</v>
      </c>
      <c r="L190" s="110"/>
    </row>
    <row r="191" spans="1:12" x14ac:dyDescent="0.25">
      <c r="A191" s="30">
        <f>IF(F191&lt;&gt;"",1+MAX($A$7:A190),"")</f>
        <v>125</v>
      </c>
      <c r="B191" s="107"/>
      <c r="C191" s="118" t="s">
        <v>159</v>
      </c>
      <c r="D191" s="41">
        <v>1</v>
      </c>
      <c r="E191" s="111">
        <v>0</v>
      </c>
      <c r="F191" s="112">
        <f t="shared" si="121"/>
        <v>1</v>
      </c>
      <c r="G191" s="113" t="s">
        <v>41</v>
      </c>
      <c r="H191" s="113"/>
      <c r="I191" s="113"/>
      <c r="J191" s="114"/>
      <c r="K191" s="115">
        <f t="shared" si="122"/>
        <v>0</v>
      </c>
      <c r="L191" s="110"/>
    </row>
    <row r="192" spans="1:12" x14ac:dyDescent="0.25">
      <c r="A192" s="30">
        <f>IF(F192&lt;&gt;"",1+MAX($A$7:A191),"")</f>
        <v>126</v>
      </c>
      <c r="B192" s="107"/>
      <c r="C192" s="118" t="s">
        <v>160</v>
      </c>
      <c r="D192" s="41">
        <v>1</v>
      </c>
      <c r="E192" s="111">
        <v>0</v>
      </c>
      <c r="F192" s="112">
        <f t="shared" si="121"/>
        <v>1</v>
      </c>
      <c r="G192" s="113" t="s">
        <v>41</v>
      </c>
      <c r="H192" s="113"/>
      <c r="I192" s="113"/>
      <c r="J192" s="114"/>
      <c r="K192" s="115">
        <f t="shared" si="122"/>
        <v>0</v>
      </c>
      <c r="L192" s="110"/>
    </row>
    <row r="193" spans="1:12" x14ac:dyDescent="0.25">
      <c r="A193" s="30">
        <f>IF(F193&lt;&gt;"",1+MAX($A$7:A192),"")</f>
        <v>127</v>
      </c>
      <c r="B193" s="107"/>
      <c r="C193" s="118" t="s">
        <v>166</v>
      </c>
      <c r="D193" s="41">
        <v>7</v>
      </c>
      <c r="E193" s="111">
        <v>0</v>
      </c>
      <c r="F193" s="112">
        <f t="shared" si="121"/>
        <v>7</v>
      </c>
      <c r="G193" s="113" t="s">
        <v>41</v>
      </c>
      <c r="H193" s="113"/>
      <c r="I193" s="113"/>
      <c r="J193" s="114"/>
      <c r="K193" s="115">
        <f t="shared" si="122"/>
        <v>0</v>
      </c>
      <c r="L193" s="110"/>
    </row>
    <row r="194" spans="1:12" x14ac:dyDescent="0.25">
      <c r="A194" s="30">
        <f>IF(F194&lt;&gt;"",1+MAX($A$7:A193),"")</f>
        <v>128</v>
      </c>
      <c r="B194" s="107"/>
      <c r="C194" s="118" t="s">
        <v>167</v>
      </c>
      <c r="D194" s="41">
        <v>5</v>
      </c>
      <c r="E194" s="111">
        <v>0</v>
      </c>
      <c r="F194" s="112">
        <f t="shared" si="121"/>
        <v>5</v>
      </c>
      <c r="G194" s="113" t="s">
        <v>41</v>
      </c>
      <c r="H194" s="113"/>
      <c r="I194" s="113"/>
      <c r="J194" s="114"/>
      <c r="K194" s="115">
        <f t="shared" si="122"/>
        <v>0</v>
      </c>
      <c r="L194" s="110"/>
    </row>
    <row r="195" spans="1:12" x14ac:dyDescent="0.25">
      <c r="A195" s="30">
        <f>IF(F195&lt;&gt;"",1+MAX($A$7:A194),"")</f>
        <v>129</v>
      </c>
      <c r="B195" s="107"/>
      <c r="C195" s="118" t="s">
        <v>168</v>
      </c>
      <c r="D195" s="41">
        <v>10</v>
      </c>
      <c r="E195" s="111">
        <v>0</v>
      </c>
      <c r="F195" s="112">
        <f t="shared" si="121"/>
        <v>10</v>
      </c>
      <c r="G195" s="113" t="s">
        <v>41</v>
      </c>
      <c r="H195" s="113"/>
      <c r="I195" s="113"/>
      <c r="J195" s="114"/>
      <c r="K195" s="115">
        <f t="shared" si="122"/>
        <v>0</v>
      </c>
      <c r="L195" s="110"/>
    </row>
    <row r="196" spans="1:12" x14ac:dyDescent="0.25">
      <c r="A196" s="30">
        <f>IF(F196&lt;&gt;"",1+MAX($A$7:A195),"")</f>
        <v>130</v>
      </c>
      <c r="B196" s="107"/>
      <c r="C196" s="118" t="s">
        <v>169</v>
      </c>
      <c r="D196" s="41">
        <v>4</v>
      </c>
      <c r="E196" s="111">
        <v>0</v>
      </c>
      <c r="F196" s="112">
        <f t="shared" si="121"/>
        <v>4</v>
      </c>
      <c r="G196" s="113" t="s">
        <v>41</v>
      </c>
      <c r="H196" s="113"/>
      <c r="I196" s="113"/>
      <c r="J196" s="114"/>
      <c r="K196" s="115">
        <f t="shared" si="122"/>
        <v>0</v>
      </c>
      <c r="L196" s="110"/>
    </row>
    <row r="197" spans="1:12" x14ac:dyDescent="0.25">
      <c r="A197" s="30">
        <f>IF(F197&lt;&gt;"",1+MAX($A$7:A196),"")</f>
        <v>131</v>
      </c>
      <c r="B197" s="107"/>
      <c r="C197" s="118" t="s">
        <v>170</v>
      </c>
      <c r="D197" s="41">
        <v>2</v>
      </c>
      <c r="E197" s="111">
        <v>0</v>
      </c>
      <c r="F197" s="112">
        <f t="shared" ref="F197:F206" si="123">D197*(1+E197)</f>
        <v>2</v>
      </c>
      <c r="G197" s="113" t="s">
        <v>41</v>
      </c>
      <c r="H197" s="113"/>
      <c r="I197" s="113"/>
      <c r="J197" s="114"/>
      <c r="K197" s="115">
        <f t="shared" ref="K197:K206" si="124">J197*F197</f>
        <v>0</v>
      </c>
      <c r="L197" s="110"/>
    </row>
    <row r="198" spans="1:12" x14ac:dyDescent="0.25">
      <c r="A198" s="30">
        <f>IF(F198&lt;&gt;"",1+MAX($A$7:A197),"")</f>
        <v>132</v>
      </c>
      <c r="B198" s="107"/>
      <c r="C198" s="118" t="s">
        <v>171</v>
      </c>
      <c r="D198" s="41">
        <v>3</v>
      </c>
      <c r="E198" s="111">
        <v>0</v>
      </c>
      <c r="F198" s="112">
        <f t="shared" si="123"/>
        <v>3</v>
      </c>
      <c r="G198" s="113" t="s">
        <v>41</v>
      </c>
      <c r="H198" s="113"/>
      <c r="I198" s="113"/>
      <c r="J198" s="114"/>
      <c r="K198" s="115">
        <f t="shared" si="124"/>
        <v>0</v>
      </c>
      <c r="L198" s="110"/>
    </row>
    <row r="199" spans="1:12" x14ac:dyDescent="0.25">
      <c r="A199" s="30">
        <f>IF(F199&lt;&gt;"",1+MAX($A$7:A198),"")</f>
        <v>133</v>
      </c>
      <c r="B199" s="107"/>
      <c r="C199" s="118" t="s">
        <v>172</v>
      </c>
      <c r="D199" s="41">
        <v>1</v>
      </c>
      <c r="E199" s="111">
        <v>0</v>
      </c>
      <c r="F199" s="112">
        <f t="shared" si="123"/>
        <v>1</v>
      </c>
      <c r="G199" s="113" t="s">
        <v>41</v>
      </c>
      <c r="H199" s="113"/>
      <c r="I199" s="113"/>
      <c r="J199" s="114"/>
      <c r="K199" s="115">
        <f t="shared" si="124"/>
        <v>0</v>
      </c>
      <c r="L199" s="110"/>
    </row>
    <row r="200" spans="1:12" x14ac:dyDescent="0.25">
      <c r="A200" s="30">
        <f>IF(F200&lt;&gt;"",1+MAX($A$7:A199),"")</f>
        <v>134</v>
      </c>
      <c r="B200" s="107"/>
      <c r="C200" s="118" t="s">
        <v>173</v>
      </c>
      <c r="D200" s="41">
        <v>2</v>
      </c>
      <c r="E200" s="111">
        <v>0</v>
      </c>
      <c r="F200" s="112">
        <f t="shared" si="123"/>
        <v>2</v>
      </c>
      <c r="G200" s="113" t="s">
        <v>41</v>
      </c>
      <c r="H200" s="113"/>
      <c r="I200" s="113"/>
      <c r="J200" s="114"/>
      <c r="K200" s="115">
        <f t="shared" si="124"/>
        <v>0</v>
      </c>
      <c r="L200" s="110"/>
    </row>
    <row r="201" spans="1:12" x14ac:dyDescent="0.25">
      <c r="A201" s="30">
        <f>IF(F201&lt;&gt;"",1+MAX($A$7:A200),"")</f>
        <v>135</v>
      </c>
      <c r="B201" s="107"/>
      <c r="C201" s="118" t="s">
        <v>174</v>
      </c>
      <c r="D201" s="41">
        <v>1</v>
      </c>
      <c r="E201" s="111">
        <v>0</v>
      </c>
      <c r="F201" s="112">
        <f t="shared" si="123"/>
        <v>1</v>
      </c>
      <c r="G201" s="113" t="s">
        <v>41</v>
      </c>
      <c r="H201" s="113"/>
      <c r="I201" s="113"/>
      <c r="J201" s="114"/>
      <c r="K201" s="115">
        <f t="shared" si="124"/>
        <v>0</v>
      </c>
      <c r="L201" s="110"/>
    </row>
    <row r="202" spans="1:12" x14ac:dyDescent="0.25">
      <c r="A202" s="30">
        <f>IF(F202&lt;&gt;"",1+MAX($A$7:A201),"")</f>
        <v>136</v>
      </c>
      <c r="B202" s="107"/>
      <c r="C202" s="118" t="s">
        <v>175</v>
      </c>
      <c r="D202" s="41">
        <v>2</v>
      </c>
      <c r="E202" s="111">
        <v>0</v>
      </c>
      <c r="F202" s="112">
        <f t="shared" si="123"/>
        <v>2</v>
      </c>
      <c r="G202" s="113" t="s">
        <v>41</v>
      </c>
      <c r="H202" s="113"/>
      <c r="I202" s="113"/>
      <c r="J202" s="114"/>
      <c r="K202" s="115">
        <f t="shared" si="124"/>
        <v>0</v>
      </c>
      <c r="L202" s="110"/>
    </row>
    <row r="203" spans="1:12" x14ac:dyDescent="0.25">
      <c r="A203" s="30">
        <f>IF(F203&lt;&gt;"",1+MAX($A$7:A202),"")</f>
        <v>137</v>
      </c>
      <c r="B203" s="107"/>
      <c r="C203" s="118" t="s">
        <v>176</v>
      </c>
      <c r="D203" s="41">
        <v>3</v>
      </c>
      <c r="E203" s="111">
        <v>0</v>
      </c>
      <c r="F203" s="112">
        <f t="shared" si="123"/>
        <v>3</v>
      </c>
      <c r="G203" s="113" t="s">
        <v>41</v>
      </c>
      <c r="H203" s="113"/>
      <c r="I203" s="113"/>
      <c r="J203" s="114"/>
      <c r="K203" s="115">
        <f t="shared" si="124"/>
        <v>0</v>
      </c>
      <c r="L203" s="110"/>
    </row>
    <row r="204" spans="1:12" x14ac:dyDescent="0.25">
      <c r="A204" s="30">
        <f>IF(F204&lt;&gt;"",1+MAX($A$7:A203),"")</f>
        <v>138</v>
      </c>
      <c r="B204" s="107"/>
      <c r="C204" s="118" t="s">
        <v>178</v>
      </c>
      <c r="D204" s="41">
        <v>2</v>
      </c>
      <c r="E204" s="111">
        <v>0</v>
      </c>
      <c r="F204" s="112">
        <f t="shared" si="123"/>
        <v>2</v>
      </c>
      <c r="G204" s="113" t="s">
        <v>41</v>
      </c>
      <c r="H204" s="113"/>
      <c r="I204" s="113"/>
      <c r="J204" s="114"/>
      <c r="K204" s="115">
        <f t="shared" si="124"/>
        <v>0</v>
      </c>
      <c r="L204" s="110"/>
    </row>
    <row r="205" spans="1:12" x14ac:dyDescent="0.25">
      <c r="A205" s="30">
        <f>IF(F205&lt;&gt;"",1+MAX($A$7:A204),"")</f>
        <v>139</v>
      </c>
      <c r="B205" s="107"/>
      <c r="C205" s="118" t="s">
        <v>177</v>
      </c>
      <c r="D205" s="41">
        <v>1</v>
      </c>
      <c r="E205" s="111">
        <v>0</v>
      </c>
      <c r="F205" s="112">
        <f t="shared" si="123"/>
        <v>1</v>
      </c>
      <c r="G205" s="113" t="s">
        <v>41</v>
      </c>
      <c r="H205" s="113"/>
      <c r="I205" s="113"/>
      <c r="J205" s="114"/>
      <c r="K205" s="115">
        <f t="shared" si="124"/>
        <v>0</v>
      </c>
      <c r="L205" s="110"/>
    </row>
    <row r="206" spans="1:12" x14ac:dyDescent="0.25">
      <c r="A206" s="30">
        <f>IF(F206&lt;&gt;"",1+MAX($A$7:A205),"")</f>
        <v>140</v>
      </c>
      <c r="B206" s="107"/>
      <c r="C206" s="118" t="s">
        <v>179</v>
      </c>
      <c r="D206" s="41">
        <v>2</v>
      </c>
      <c r="E206" s="111">
        <v>0</v>
      </c>
      <c r="F206" s="112">
        <f t="shared" si="123"/>
        <v>2</v>
      </c>
      <c r="G206" s="113" t="s">
        <v>41</v>
      </c>
      <c r="H206" s="113"/>
      <c r="I206" s="113"/>
      <c r="J206" s="114"/>
      <c r="K206" s="115">
        <f t="shared" si="124"/>
        <v>0</v>
      </c>
      <c r="L206" s="110"/>
    </row>
    <row r="207" spans="1:12" x14ac:dyDescent="0.25">
      <c r="A207" s="30">
        <f>IF(F207&lt;&gt;"",1+MAX($A$7:A206),"")</f>
        <v>141</v>
      </c>
      <c r="B207" s="107"/>
      <c r="C207" s="118" t="s">
        <v>158</v>
      </c>
      <c r="D207" s="41">
        <v>80</v>
      </c>
      <c r="E207" s="111">
        <v>0</v>
      </c>
      <c r="F207" s="112">
        <f t="shared" si="121"/>
        <v>80</v>
      </c>
      <c r="G207" s="113" t="s">
        <v>41</v>
      </c>
      <c r="H207" s="113"/>
      <c r="I207" s="113"/>
      <c r="J207" s="114"/>
      <c r="K207" s="115">
        <f t="shared" si="122"/>
        <v>0</v>
      </c>
      <c r="L207" s="110"/>
    </row>
    <row r="208" spans="1:12" x14ac:dyDescent="0.25">
      <c r="A208" s="30">
        <f>IF(F208&lt;&gt;"",1+MAX($A$7:A207),"")</f>
        <v>142</v>
      </c>
      <c r="B208" s="107"/>
      <c r="C208" s="118" t="s">
        <v>162</v>
      </c>
      <c r="D208" s="41">
        <v>1</v>
      </c>
      <c r="E208" s="111">
        <v>0</v>
      </c>
      <c r="F208" s="112">
        <f t="shared" si="121"/>
        <v>1</v>
      </c>
      <c r="G208" s="113" t="s">
        <v>41</v>
      </c>
      <c r="H208" s="113"/>
      <c r="I208" s="113"/>
      <c r="J208" s="114"/>
      <c r="K208" s="115">
        <f t="shared" si="122"/>
        <v>0</v>
      </c>
      <c r="L208" s="110"/>
    </row>
    <row r="209" spans="1:12" x14ac:dyDescent="0.25">
      <c r="A209" s="30">
        <f>IF(F209&lt;&gt;"",1+MAX($A$7:A208),"")</f>
        <v>143</v>
      </c>
      <c r="B209" s="107"/>
      <c r="C209" s="118" t="s">
        <v>234</v>
      </c>
      <c r="D209" s="41">
        <v>13</v>
      </c>
      <c r="E209" s="111">
        <v>0</v>
      </c>
      <c r="F209" s="112">
        <f t="shared" si="121"/>
        <v>13</v>
      </c>
      <c r="G209" s="113" t="s">
        <v>41</v>
      </c>
      <c r="H209" s="113"/>
      <c r="I209" s="113"/>
      <c r="J209" s="114"/>
      <c r="K209" s="115">
        <f t="shared" si="122"/>
        <v>0</v>
      </c>
      <c r="L209" s="110"/>
    </row>
    <row r="210" spans="1:12" s="37" customFormat="1" x14ac:dyDescent="0.25">
      <c r="A210" s="30" t="str">
        <f>IF(F210&lt;&gt;"",1+MAX($A$7:A209),"")</f>
        <v/>
      </c>
      <c r="B210" s="31"/>
      <c r="D210" s="41"/>
      <c r="E210" s="28"/>
      <c r="F210" s="32"/>
      <c r="G210" s="29"/>
      <c r="H210" s="29"/>
      <c r="I210" s="29"/>
      <c r="J210" s="33"/>
      <c r="K210" s="34"/>
      <c r="L210" s="35"/>
    </row>
    <row r="211" spans="1:12" s="6" customFormat="1" x14ac:dyDescent="0.25">
      <c r="A211" s="30" t="str">
        <f>IF(F211&lt;&gt;"",1+MAX($A$7:A210),"")</f>
        <v/>
      </c>
      <c r="B211" s="11"/>
      <c r="C211" s="119" t="s">
        <v>56</v>
      </c>
      <c r="D211" s="92"/>
      <c r="E211" s="3"/>
      <c r="F211" s="1"/>
      <c r="G211" s="4"/>
      <c r="H211" s="4"/>
      <c r="I211" s="4"/>
      <c r="J211" s="24"/>
      <c r="K211" s="20"/>
      <c r="L211" s="5"/>
    </row>
    <row r="212" spans="1:12" s="6" customFormat="1" x14ac:dyDescent="0.25">
      <c r="A212" s="30">
        <f>IF(F212&lt;&gt;"",1+MAX($A$7:A211),"")</f>
        <v>144</v>
      </c>
      <c r="B212" s="11"/>
      <c r="C212" s="118" t="s">
        <v>130</v>
      </c>
      <c r="D212" s="41">
        <f>162+71+36+168+23+41+58+72+114+24+106+40+85+96+49+27+83+152+43+48+96+42+44+23</f>
        <v>1703</v>
      </c>
      <c r="E212" s="28">
        <v>0.1</v>
      </c>
      <c r="F212" s="32">
        <f t="shared" ref="F212" si="125">D212*(1+E212)</f>
        <v>1873.3000000000002</v>
      </c>
      <c r="G212" s="29" t="s">
        <v>40</v>
      </c>
      <c r="H212" s="29"/>
      <c r="I212" s="29"/>
      <c r="J212" s="33"/>
      <c r="K212" s="34">
        <f t="shared" ref="K212" si="126">J212*F212</f>
        <v>0</v>
      </c>
      <c r="L212" s="5"/>
    </row>
    <row r="213" spans="1:12" s="6" customFormat="1" x14ac:dyDescent="0.25">
      <c r="A213" s="30">
        <f>IF(F213&lt;&gt;"",1+MAX($A$7:A212),"")</f>
        <v>145</v>
      </c>
      <c r="B213" s="11"/>
      <c r="C213" s="118" t="s">
        <v>132</v>
      </c>
      <c r="D213" s="41">
        <f>24+42+102+51+23+53</f>
        <v>295</v>
      </c>
      <c r="E213" s="28">
        <v>0.1</v>
      </c>
      <c r="F213" s="32">
        <f t="shared" ref="F213:F215" si="127">D213*(1+E213)</f>
        <v>324.5</v>
      </c>
      <c r="G213" s="29" t="s">
        <v>40</v>
      </c>
      <c r="H213" s="29"/>
      <c r="I213" s="29"/>
      <c r="J213" s="33"/>
      <c r="K213" s="34">
        <f t="shared" ref="K213:K215" si="128">J213*F213</f>
        <v>0</v>
      </c>
      <c r="L213" s="5"/>
    </row>
    <row r="214" spans="1:12" s="6" customFormat="1" x14ac:dyDescent="0.25">
      <c r="A214" s="30">
        <f>IF(F214&lt;&gt;"",1+MAX($A$7:A213),"")</f>
        <v>146</v>
      </c>
      <c r="B214" s="11"/>
      <c r="C214" s="118" t="s">
        <v>131</v>
      </c>
      <c r="D214" s="41">
        <f>139+37+25+206</f>
        <v>407</v>
      </c>
      <c r="E214" s="28">
        <v>0.1</v>
      </c>
      <c r="F214" s="32">
        <f t="shared" si="127"/>
        <v>447.70000000000005</v>
      </c>
      <c r="G214" s="29" t="s">
        <v>40</v>
      </c>
      <c r="H214" s="29"/>
      <c r="I214" s="29"/>
      <c r="J214" s="33"/>
      <c r="K214" s="34">
        <f t="shared" si="128"/>
        <v>0</v>
      </c>
      <c r="L214" s="5"/>
    </row>
    <row r="215" spans="1:12" s="6" customFormat="1" x14ac:dyDescent="0.25">
      <c r="A215" s="30">
        <f>IF(F215&lt;&gt;"",1+MAX($A$7:A214),"")</f>
        <v>147</v>
      </c>
      <c r="B215" s="11"/>
      <c r="C215" s="118" t="s">
        <v>133</v>
      </c>
      <c r="D215" s="41">
        <f>69+216+27+42+52</f>
        <v>406</v>
      </c>
      <c r="E215" s="28">
        <v>0.1</v>
      </c>
      <c r="F215" s="32">
        <f t="shared" si="127"/>
        <v>446.6</v>
      </c>
      <c r="G215" s="29" t="s">
        <v>40</v>
      </c>
      <c r="H215" s="29"/>
      <c r="I215" s="29"/>
      <c r="J215" s="33"/>
      <c r="K215" s="34">
        <f t="shared" si="128"/>
        <v>0</v>
      </c>
      <c r="L215" s="5"/>
    </row>
    <row r="216" spans="1:12" s="6" customFormat="1" x14ac:dyDescent="0.25">
      <c r="A216" s="30">
        <f>IF(F216&lt;&gt;"",1+MAX($A$7:A215),"")</f>
        <v>148</v>
      </c>
      <c r="B216" s="11"/>
      <c r="C216" s="118" t="s">
        <v>135</v>
      </c>
      <c r="D216" s="41">
        <v>94</v>
      </c>
      <c r="E216" s="28">
        <v>0.1</v>
      </c>
      <c r="F216" s="32">
        <f t="shared" ref="F216" si="129">D216*(1+E216)</f>
        <v>103.4</v>
      </c>
      <c r="G216" s="29" t="s">
        <v>40</v>
      </c>
      <c r="H216" s="29"/>
      <c r="I216" s="29"/>
      <c r="J216" s="33"/>
      <c r="K216" s="34">
        <f t="shared" ref="K216" si="130">J216*F216</f>
        <v>0</v>
      </c>
      <c r="L216" s="5"/>
    </row>
    <row r="217" spans="1:12" s="6" customFormat="1" x14ac:dyDescent="0.25">
      <c r="A217" s="30">
        <f>IF(F217&lt;&gt;"",1+MAX($A$7:A216),"")</f>
        <v>149</v>
      </c>
      <c r="B217" s="11"/>
      <c r="C217" s="118" t="s">
        <v>134</v>
      </c>
      <c r="D217" s="41">
        <f>16+34</f>
        <v>50</v>
      </c>
      <c r="E217" s="28">
        <v>0.1</v>
      </c>
      <c r="F217" s="32">
        <f t="shared" ref="F217" si="131">D217*(1+E217)</f>
        <v>55.000000000000007</v>
      </c>
      <c r="G217" s="29" t="s">
        <v>40</v>
      </c>
      <c r="H217" s="29"/>
      <c r="I217" s="29"/>
      <c r="J217" s="33"/>
      <c r="K217" s="34">
        <f t="shared" ref="K217" si="132">J217*F217</f>
        <v>0</v>
      </c>
      <c r="L217" s="5"/>
    </row>
    <row r="218" spans="1:12" s="6" customFormat="1" x14ac:dyDescent="0.25">
      <c r="A218" s="30">
        <f>IF(F218&lt;&gt;"",1+MAX($A$7:A217),"")</f>
        <v>150</v>
      </c>
      <c r="B218" s="11"/>
      <c r="C218" s="118" t="s">
        <v>138</v>
      </c>
      <c r="D218" s="41">
        <f>680+470</f>
        <v>1150</v>
      </c>
      <c r="E218" s="28">
        <v>0.1</v>
      </c>
      <c r="F218" s="32">
        <f t="shared" ref="F218" si="133">D218*(1+E218)</f>
        <v>1265</v>
      </c>
      <c r="G218" s="29" t="s">
        <v>40</v>
      </c>
      <c r="H218" s="29"/>
      <c r="I218" s="29"/>
      <c r="J218" s="33"/>
      <c r="K218" s="34">
        <f t="shared" ref="K218" si="134">J218*F218</f>
        <v>0</v>
      </c>
      <c r="L218" s="5"/>
    </row>
    <row r="219" spans="1:12" s="6" customFormat="1" x14ac:dyDescent="0.25">
      <c r="A219" s="30">
        <f>IF(F219&lt;&gt;"",1+MAX($A$7:A218),"")</f>
        <v>151</v>
      </c>
      <c r="B219" s="11"/>
      <c r="C219" s="118" t="s">
        <v>139</v>
      </c>
      <c r="D219" s="41">
        <f>60+35</f>
        <v>95</v>
      </c>
      <c r="E219" s="28">
        <v>0.1</v>
      </c>
      <c r="F219" s="32">
        <f t="shared" ref="F219" si="135">D219*(1+E219)</f>
        <v>104.50000000000001</v>
      </c>
      <c r="G219" s="29" t="s">
        <v>40</v>
      </c>
      <c r="H219" s="29"/>
      <c r="I219" s="29"/>
      <c r="J219" s="33"/>
      <c r="K219" s="34">
        <f t="shared" ref="K219" si="136">J219*F219</f>
        <v>0</v>
      </c>
      <c r="L219" s="5"/>
    </row>
    <row r="220" spans="1:12" s="37" customFormat="1" x14ac:dyDescent="0.25">
      <c r="A220" s="30" t="str">
        <f>IF(F220&lt;&gt;"",1+MAX($A$7:A219),"")</f>
        <v/>
      </c>
      <c r="B220" s="31"/>
      <c r="C220" s="120" t="s">
        <v>56</v>
      </c>
      <c r="D220" s="41"/>
      <c r="E220" s="28"/>
      <c r="F220" s="32"/>
      <c r="G220" s="29"/>
      <c r="H220" s="29"/>
      <c r="I220" s="29"/>
      <c r="J220" s="33"/>
      <c r="K220" s="34"/>
      <c r="L220" s="35"/>
    </row>
    <row r="221" spans="1:12" s="37" customFormat="1" x14ac:dyDescent="0.25">
      <c r="A221" s="30">
        <f>IF(F221&lt;&gt;"",1+MAX($A$7:A220),"")</f>
        <v>152</v>
      </c>
      <c r="B221" s="31"/>
      <c r="C221" s="118" t="s">
        <v>79</v>
      </c>
      <c r="D221" s="41">
        <f>2955*2*7/27+2955*7*7*0.5/27*2</f>
        <v>6895</v>
      </c>
      <c r="E221" s="28">
        <v>0.1</v>
      </c>
      <c r="F221" s="32">
        <f t="shared" ref="F221" si="137">D221*(1+E221)</f>
        <v>7584.5000000000009</v>
      </c>
      <c r="G221" s="29" t="s">
        <v>48</v>
      </c>
      <c r="H221" s="29"/>
      <c r="I221" s="29"/>
      <c r="J221" s="33"/>
      <c r="K221" s="34">
        <f t="shared" ref="K221" si="138">J221*F221</f>
        <v>0</v>
      </c>
      <c r="L221" s="35"/>
    </row>
    <row r="222" spans="1:12" s="37" customFormat="1" x14ac:dyDescent="0.25">
      <c r="A222" s="30">
        <f>IF(F222&lt;&gt;"",1+MAX($A$7:A221),"")</f>
        <v>153</v>
      </c>
      <c r="B222" s="31"/>
      <c r="C222" s="118" t="s">
        <v>77</v>
      </c>
      <c r="D222" s="41">
        <f>D221-D223</f>
        <v>6499.973958333333</v>
      </c>
      <c r="E222" s="28">
        <v>0.1</v>
      </c>
      <c r="F222" s="32">
        <f t="shared" ref="F222" si="139">D222*(1+E222)</f>
        <v>7149.971354166667</v>
      </c>
      <c r="G222" s="29" t="s">
        <v>48</v>
      </c>
      <c r="H222" s="29"/>
      <c r="I222" s="29"/>
      <c r="J222" s="33"/>
      <c r="K222" s="34">
        <f t="shared" ref="K222" si="140">J222*F222</f>
        <v>0</v>
      </c>
      <c r="L222" s="35"/>
    </row>
    <row r="223" spans="1:12" s="37" customFormat="1" x14ac:dyDescent="0.25">
      <c r="A223" s="30">
        <f>IF(F223&lt;&gt;"",1+MAX($A$7:A222),"")</f>
        <v>154</v>
      </c>
      <c r="B223" s="31"/>
      <c r="C223" s="118" t="s">
        <v>78</v>
      </c>
      <c r="D223" s="41">
        <f>2955*2*2/27-2955*1.25*1.25*0.25/27</f>
        <v>395.02604166666663</v>
      </c>
      <c r="E223" s="28">
        <v>0.1</v>
      </c>
      <c r="F223" s="32">
        <f t="shared" ref="F223" si="141">D223*(1+E223)</f>
        <v>434.52864583333331</v>
      </c>
      <c r="G223" s="29" t="s">
        <v>48</v>
      </c>
      <c r="H223" s="29"/>
      <c r="I223" s="29"/>
      <c r="J223" s="33"/>
      <c r="K223" s="34">
        <f t="shared" ref="K223" si="142">J223*F223</f>
        <v>0</v>
      </c>
      <c r="L223" s="35"/>
    </row>
    <row r="224" spans="1:12" s="37" customFormat="1" x14ac:dyDescent="0.25">
      <c r="A224" s="30" t="str">
        <f>IF(F224&lt;&gt;"",1+MAX($A$7:A223),"")</f>
        <v/>
      </c>
      <c r="B224" s="31"/>
      <c r="C224" s="137" t="s">
        <v>84</v>
      </c>
      <c r="D224" s="41"/>
      <c r="E224" s="28"/>
      <c r="F224" s="32"/>
      <c r="G224" s="29"/>
      <c r="H224" s="29"/>
      <c r="I224" s="29"/>
      <c r="J224" s="33"/>
      <c r="K224" s="34"/>
      <c r="L224" s="35"/>
    </row>
    <row r="225" spans="1:12" s="37" customFormat="1" x14ac:dyDescent="0.25">
      <c r="A225" s="30">
        <f>IF(F225&lt;&gt;"",1+MAX($A$7:A224),"")</f>
        <v>155</v>
      </c>
      <c r="B225" s="31"/>
      <c r="C225" s="118" t="s">
        <v>127</v>
      </c>
      <c r="D225" s="41">
        <v>18</v>
      </c>
      <c r="E225" s="28">
        <v>0</v>
      </c>
      <c r="F225" s="32">
        <f t="shared" ref="F225" si="143">D225*(1+E225)</f>
        <v>18</v>
      </c>
      <c r="G225" s="29" t="s">
        <v>41</v>
      </c>
      <c r="H225" s="29"/>
      <c r="I225" s="29"/>
      <c r="J225" s="33"/>
      <c r="K225" s="34">
        <f t="shared" ref="K225" si="144">J225*F225</f>
        <v>0</v>
      </c>
      <c r="L225" s="35"/>
    </row>
    <row r="226" spans="1:12" s="37" customFormat="1" x14ac:dyDescent="0.25">
      <c r="A226" s="30">
        <f>IF(F226&lt;&gt;"",1+MAX($A$7:A225),"")</f>
        <v>156</v>
      </c>
      <c r="B226" s="31"/>
      <c r="C226" s="118" t="s">
        <v>128</v>
      </c>
      <c r="D226" s="41">
        <v>18</v>
      </c>
      <c r="E226" s="28">
        <v>0</v>
      </c>
      <c r="F226" s="32">
        <f t="shared" ref="F226" si="145">D226*(1+E226)</f>
        <v>18</v>
      </c>
      <c r="G226" s="29" t="s">
        <v>41</v>
      </c>
      <c r="H226" s="29"/>
      <c r="I226" s="29"/>
      <c r="J226" s="33"/>
      <c r="K226" s="34">
        <f t="shared" ref="K226" si="146">J226*F226</f>
        <v>0</v>
      </c>
      <c r="L226" s="35"/>
    </row>
    <row r="227" spans="1:12" s="37" customFormat="1" x14ac:dyDescent="0.25">
      <c r="A227" s="30">
        <f>IF(F227&lt;&gt;"",1+MAX($A$7:A226),"")</f>
        <v>157</v>
      </c>
      <c r="B227" s="31"/>
      <c r="C227" s="118" t="s">
        <v>129</v>
      </c>
      <c r="D227" s="41">
        <v>4</v>
      </c>
      <c r="E227" s="28">
        <v>0</v>
      </c>
      <c r="F227" s="32">
        <f t="shared" ref="F227" si="147">D227*(1+E227)</f>
        <v>4</v>
      </c>
      <c r="G227" s="29" t="s">
        <v>41</v>
      </c>
      <c r="H227" s="29"/>
      <c r="I227" s="29"/>
      <c r="J227" s="33"/>
      <c r="K227" s="34">
        <f t="shared" ref="K227" si="148">J227*F227</f>
        <v>0</v>
      </c>
      <c r="L227" s="35"/>
    </row>
    <row r="228" spans="1:12" s="37" customFormat="1" x14ac:dyDescent="0.25">
      <c r="A228" s="30">
        <f>IF(F228&lt;&gt;"",1+MAX($A$7:A227),"")</f>
        <v>158</v>
      </c>
      <c r="B228" s="31"/>
      <c r="C228" s="118" t="s">
        <v>140</v>
      </c>
      <c r="D228" s="41">
        <v>2</v>
      </c>
      <c r="E228" s="28">
        <v>0</v>
      </c>
      <c r="F228" s="32">
        <f t="shared" ref="F228" si="149">D228*(1+E228)</f>
        <v>2</v>
      </c>
      <c r="G228" s="29" t="s">
        <v>41</v>
      </c>
      <c r="H228" s="29"/>
      <c r="I228" s="29"/>
      <c r="J228" s="33"/>
      <c r="K228" s="34">
        <f t="shared" ref="K228" si="150">J228*F228</f>
        <v>0</v>
      </c>
      <c r="L228" s="35"/>
    </row>
    <row r="229" spans="1:12" s="37" customFormat="1" x14ac:dyDescent="0.25">
      <c r="A229" s="30">
        <f>IF(F229&lt;&gt;"",1+MAX($A$7:A228),"")</f>
        <v>159</v>
      </c>
      <c r="B229" s="31"/>
      <c r="C229" s="118" t="s">
        <v>142</v>
      </c>
      <c r="D229" s="41">
        <v>2</v>
      </c>
      <c r="E229" s="28">
        <v>0</v>
      </c>
      <c r="F229" s="32">
        <f t="shared" ref="F229" si="151">D229*(1+E229)</f>
        <v>2</v>
      </c>
      <c r="G229" s="29" t="s">
        <v>41</v>
      </c>
      <c r="H229" s="29"/>
      <c r="I229" s="29"/>
      <c r="J229" s="33"/>
      <c r="K229" s="34">
        <f t="shared" ref="K229" si="152">J229*F229</f>
        <v>0</v>
      </c>
      <c r="L229" s="35"/>
    </row>
    <row r="230" spans="1:12" s="37" customFormat="1" x14ac:dyDescent="0.25">
      <c r="A230" s="30">
        <f>IF(F230&lt;&gt;"",1+MAX($A$7:A229),"")</f>
        <v>160</v>
      </c>
      <c r="B230" s="31"/>
      <c r="C230" s="118" t="s">
        <v>143</v>
      </c>
      <c r="D230" s="41">
        <f>175+245</f>
        <v>420</v>
      </c>
      <c r="E230" s="28">
        <v>0.1</v>
      </c>
      <c r="F230" s="32">
        <f t="shared" ref="F230:F231" si="153">D230*(1+E230)</f>
        <v>462.00000000000006</v>
      </c>
      <c r="G230" s="29" t="s">
        <v>42</v>
      </c>
      <c r="H230" s="29"/>
      <c r="I230" s="29"/>
      <c r="J230" s="33"/>
      <c r="K230" s="34">
        <f t="shared" ref="K230:K231" si="154">J230*F230</f>
        <v>0</v>
      </c>
      <c r="L230" s="35"/>
    </row>
    <row r="231" spans="1:12" s="37" customFormat="1" x14ac:dyDescent="0.25">
      <c r="A231" s="30">
        <f>IF(F231&lt;&gt;"",1+MAX($A$7:A230),"")</f>
        <v>161</v>
      </c>
      <c r="B231" s="31"/>
      <c r="C231" s="122" t="s">
        <v>126</v>
      </c>
      <c r="D231" s="39">
        <v>1590</v>
      </c>
      <c r="E231" s="28">
        <v>0.1</v>
      </c>
      <c r="F231" s="32">
        <f t="shared" si="153"/>
        <v>1749.0000000000002</v>
      </c>
      <c r="G231" s="29" t="s">
        <v>42</v>
      </c>
      <c r="H231" s="29"/>
      <c r="I231" s="29"/>
      <c r="J231" s="33"/>
      <c r="K231" s="34">
        <f t="shared" si="154"/>
        <v>0</v>
      </c>
      <c r="L231" s="35"/>
    </row>
    <row r="232" spans="1:12" s="37" customFormat="1" x14ac:dyDescent="0.25">
      <c r="A232" s="30" t="str">
        <f>IF(F232&lt;&gt;"",1+MAX($A$7:A231),"")</f>
        <v/>
      </c>
      <c r="B232" s="31"/>
      <c r="D232" s="41"/>
      <c r="E232" s="28"/>
      <c r="F232" s="32"/>
      <c r="G232" s="29"/>
      <c r="H232" s="29"/>
      <c r="I232" s="29"/>
      <c r="J232" s="33"/>
      <c r="K232" s="34"/>
      <c r="L232" s="35"/>
    </row>
    <row r="233" spans="1:12" x14ac:dyDescent="0.25">
      <c r="A233" s="30" t="str">
        <f>IF(F233&lt;&gt;"",1+MAX($A$7:A232),"")</f>
        <v/>
      </c>
      <c r="B233" s="107"/>
      <c r="C233" s="120" t="s">
        <v>54</v>
      </c>
      <c r="D233" s="41"/>
      <c r="E233" s="111"/>
      <c r="F233" s="112"/>
      <c r="G233" s="113"/>
      <c r="H233" s="113"/>
      <c r="I233" s="113"/>
      <c r="J233" s="114"/>
      <c r="K233" s="115"/>
      <c r="L233" s="110"/>
    </row>
    <row r="234" spans="1:12" x14ac:dyDescent="0.25">
      <c r="A234" s="30">
        <f>IF(F234&lt;&gt;"",1+MAX($A$7:A233),"")</f>
        <v>162</v>
      </c>
      <c r="B234" s="107"/>
      <c r="C234" s="118" t="s">
        <v>182</v>
      </c>
      <c r="D234" s="41">
        <v>11</v>
      </c>
      <c r="E234" s="111">
        <v>0</v>
      </c>
      <c r="F234" s="112">
        <f>D234*(1+E234)</f>
        <v>11</v>
      </c>
      <c r="G234" s="113" t="s">
        <v>41</v>
      </c>
      <c r="H234" s="113"/>
      <c r="I234" s="113"/>
      <c r="J234" s="114"/>
      <c r="K234" s="115">
        <f t="shared" ref="K234" si="155">J234*F234</f>
        <v>0</v>
      </c>
      <c r="L234" s="110"/>
    </row>
    <row r="235" spans="1:12" x14ac:dyDescent="0.25">
      <c r="A235" s="30" t="str">
        <f>IF(F235&lt;&gt;"",1+MAX($A$7:A234),"")</f>
        <v/>
      </c>
      <c r="B235" s="107"/>
      <c r="C235" s="120" t="s">
        <v>95</v>
      </c>
      <c r="D235" s="41"/>
      <c r="E235" s="111"/>
      <c r="F235" s="112"/>
      <c r="G235" s="113"/>
      <c r="H235" s="113"/>
      <c r="I235" s="113"/>
      <c r="J235" s="114"/>
      <c r="K235" s="115"/>
      <c r="L235" s="110"/>
    </row>
    <row r="236" spans="1:12" x14ac:dyDescent="0.25">
      <c r="A236" s="30">
        <f>IF(F236&lt;&gt;"",1+MAX($A$7:A235),"")</f>
        <v>163</v>
      </c>
      <c r="B236" s="107"/>
      <c r="C236" s="118" t="s">
        <v>70</v>
      </c>
      <c r="D236" s="41">
        <f>(3.14*2*2*0.25*9*11)/27</f>
        <v>11.513333333333334</v>
      </c>
      <c r="E236" s="111">
        <v>0.1</v>
      </c>
      <c r="F236" s="112">
        <f t="shared" ref="F236:F241" si="156">D236*(1+E236)</f>
        <v>12.664666666666667</v>
      </c>
      <c r="G236" s="113" t="s">
        <v>48</v>
      </c>
      <c r="H236" s="113"/>
      <c r="I236" s="113"/>
      <c r="J236" s="114"/>
      <c r="K236" s="115">
        <f t="shared" ref="K236:K241" si="157">J236*F236</f>
        <v>0</v>
      </c>
      <c r="L236" s="110"/>
    </row>
    <row r="237" spans="1:12" x14ac:dyDescent="0.25">
      <c r="A237" s="30">
        <f>IF(F237&lt;&gt;"",1+MAX($A$7:A236),"")</f>
        <v>164</v>
      </c>
      <c r="B237" s="107"/>
      <c r="C237" s="118" t="s">
        <v>96</v>
      </c>
      <c r="D237" s="41">
        <f>3.14*2*9*11</f>
        <v>621.72</v>
      </c>
      <c r="E237" s="111">
        <v>0.1</v>
      </c>
      <c r="F237" s="112">
        <f t="shared" si="156"/>
        <v>683.89200000000005</v>
      </c>
      <c r="G237" s="113" t="s">
        <v>74</v>
      </c>
      <c r="H237" s="113"/>
      <c r="I237" s="113"/>
      <c r="J237" s="114"/>
      <c r="K237" s="115">
        <f t="shared" si="157"/>
        <v>0</v>
      </c>
      <c r="L237" s="110"/>
    </row>
    <row r="238" spans="1:12" x14ac:dyDescent="0.25">
      <c r="A238" s="30">
        <f>IF(F238&lt;&gt;"",1+MAX($A$7:A237),"")</f>
        <v>165</v>
      </c>
      <c r="B238" s="107"/>
      <c r="C238" s="118" t="s">
        <v>72</v>
      </c>
      <c r="D238" s="41">
        <f>(3.14*4*4*0.25*7*11)/27</f>
        <v>35.819259259259262</v>
      </c>
      <c r="E238" s="111">
        <v>0.1</v>
      </c>
      <c r="F238" s="112">
        <f t="shared" si="156"/>
        <v>39.401185185185192</v>
      </c>
      <c r="G238" s="113" t="s">
        <v>48</v>
      </c>
      <c r="H238" s="113"/>
      <c r="I238" s="113"/>
      <c r="J238" s="114"/>
      <c r="K238" s="115">
        <f t="shared" si="157"/>
        <v>0</v>
      </c>
      <c r="L238" s="110"/>
    </row>
    <row r="239" spans="1:12" x14ac:dyDescent="0.25">
      <c r="A239" s="30">
        <f>IF(F239&lt;&gt;"",1+MAX($A$7:A238),"")</f>
        <v>166</v>
      </c>
      <c r="B239" s="107"/>
      <c r="C239" s="118" t="s">
        <v>73</v>
      </c>
      <c r="D239" s="41">
        <f>(3.14*1*1*0.25*7*11)/27</f>
        <v>2.2387037037037039</v>
      </c>
      <c r="E239" s="111">
        <v>0.1</v>
      </c>
      <c r="F239" s="112">
        <f t="shared" si="156"/>
        <v>2.4625740740740745</v>
      </c>
      <c r="G239" s="113" t="s">
        <v>48</v>
      </c>
      <c r="H239" s="113"/>
      <c r="I239" s="113"/>
      <c r="J239" s="114"/>
      <c r="K239" s="115">
        <f t="shared" si="157"/>
        <v>0</v>
      </c>
      <c r="L239" s="110"/>
    </row>
    <row r="240" spans="1:12" x14ac:dyDescent="0.25">
      <c r="A240" s="30">
        <f>IF(F240&lt;&gt;"",1+MAX($A$7:A239),"")</f>
        <v>167</v>
      </c>
      <c r="B240" s="107"/>
      <c r="C240" s="118" t="s">
        <v>76</v>
      </c>
      <c r="D240" s="41">
        <f>8*7*2.044*1.2*11</f>
        <v>1510.9248</v>
      </c>
      <c r="E240" s="111">
        <v>0.1</v>
      </c>
      <c r="F240" s="112">
        <f t="shared" si="156"/>
        <v>1662.01728</v>
      </c>
      <c r="G240" s="113" t="s">
        <v>60</v>
      </c>
      <c r="H240" s="113"/>
      <c r="I240" s="113"/>
      <c r="J240" s="114"/>
      <c r="K240" s="115">
        <f t="shared" si="157"/>
        <v>0</v>
      </c>
      <c r="L240" s="110"/>
    </row>
    <row r="241" spans="1:12" x14ac:dyDescent="0.25">
      <c r="A241" s="30">
        <f>IF(F241&lt;&gt;"",1+MAX($A$7:A240),"")</f>
        <v>168</v>
      </c>
      <c r="B241" s="107"/>
      <c r="C241" s="118" t="s">
        <v>97</v>
      </c>
      <c r="D241" s="41">
        <f>(7/1.33+1)*(3.14*2+0.5)*0.668*1.2*11</f>
        <v>374.43242273684211</v>
      </c>
      <c r="E241" s="111">
        <v>0.1</v>
      </c>
      <c r="F241" s="112">
        <f t="shared" si="156"/>
        <v>411.87566501052635</v>
      </c>
      <c r="G241" s="113" t="s">
        <v>60</v>
      </c>
      <c r="H241" s="113"/>
      <c r="I241" s="113"/>
      <c r="J241" s="114"/>
      <c r="K241" s="115">
        <f t="shared" si="157"/>
        <v>0</v>
      </c>
      <c r="L241" s="110"/>
    </row>
    <row r="242" spans="1:12" x14ac:dyDescent="0.25">
      <c r="A242" s="30" t="str">
        <f>IF(F242&lt;&gt;"",1+MAX($A$7:A241),"")</f>
        <v/>
      </c>
      <c r="B242" s="107"/>
      <c r="C242" s="137" t="s">
        <v>180</v>
      </c>
      <c r="D242" s="41"/>
      <c r="E242" s="111"/>
      <c r="F242" s="112"/>
      <c r="G242" s="113"/>
      <c r="H242" s="113"/>
      <c r="I242" s="113"/>
      <c r="J242" s="114"/>
      <c r="K242" s="115"/>
      <c r="L242" s="110"/>
    </row>
    <row r="243" spans="1:12" s="37" customFormat="1" x14ac:dyDescent="0.25">
      <c r="A243" s="30" t="str">
        <f>IF(F243&lt;&gt;"",1+MAX($A$7:A242),"")</f>
        <v/>
      </c>
      <c r="B243" s="31"/>
      <c r="D243" s="41"/>
      <c r="E243" s="28"/>
      <c r="F243" s="32"/>
      <c r="G243" s="29"/>
      <c r="H243" s="29"/>
      <c r="I243" s="29"/>
      <c r="J243" s="33"/>
      <c r="K243" s="34"/>
      <c r="L243" s="35"/>
    </row>
    <row r="244" spans="1:12" x14ac:dyDescent="0.25">
      <c r="A244" s="30" t="str">
        <f>IF(F244&lt;&gt;"",1+MAX($A$7:A243),"")</f>
        <v/>
      </c>
      <c r="B244" s="107"/>
      <c r="C244" s="91" t="s">
        <v>98</v>
      </c>
      <c r="D244" s="41"/>
      <c r="E244" s="111"/>
      <c r="F244" s="112"/>
      <c r="G244" s="113"/>
      <c r="H244" s="113"/>
      <c r="I244" s="113"/>
      <c r="J244" s="114"/>
      <c r="K244" s="115"/>
      <c r="L244" s="110"/>
    </row>
    <row r="245" spans="1:12" ht="30" x14ac:dyDescent="0.25">
      <c r="A245" s="30">
        <f>IF(F245&lt;&gt;"",1+MAX($A$7:A244),"")</f>
        <v>169</v>
      </c>
      <c r="B245" s="107"/>
      <c r="C245" s="121" t="s">
        <v>181</v>
      </c>
      <c r="D245" s="112">
        <v>11</v>
      </c>
      <c r="E245" s="111">
        <v>0</v>
      </c>
      <c r="F245" s="112">
        <f t="shared" ref="F245" si="158">D245*(1+E245)</f>
        <v>11</v>
      </c>
      <c r="G245" s="113" t="s">
        <v>41</v>
      </c>
      <c r="H245" s="113"/>
      <c r="I245" s="113"/>
      <c r="J245" s="114"/>
      <c r="K245" s="115">
        <f t="shared" ref="K245" si="159">J245*F245</f>
        <v>0</v>
      </c>
      <c r="L245" s="110"/>
    </row>
    <row r="246" spans="1:12" s="37" customFormat="1" x14ac:dyDescent="0.25">
      <c r="A246" s="30" t="str">
        <f>IF(F246&lt;&gt;"",1+MAX($A$7:A245),"")</f>
        <v/>
      </c>
      <c r="B246" s="31"/>
      <c r="C246" s="118"/>
      <c r="D246" s="41"/>
      <c r="E246" s="28"/>
      <c r="F246" s="32"/>
      <c r="G246" s="29"/>
      <c r="H246" s="29"/>
      <c r="I246" s="29"/>
      <c r="J246" s="33"/>
      <c r="K246" s="34"/>
      <c r="L246" s="35"/>
    </row>
    <row r="247" spans="1:12" x14ac:dyDescent="0.25">
      <c r="A247" s="30" t="str">
        <f>IF(F247&lt;&gt;"",1+MAX($A$7:A246),"")</f>
        <v/>
      </c>
      <c r="B247" s="107"/>
      <c r="C247" s="119" t="s">
        <v>93</v>
      </c>
      <c r="E247" s="109"/>
      <c r="J247" s="24"/>
      <c r="K247" s="20"/>
      <c r="L247" s="110"/>
    </row>
    <row r="248" spans="1:12" x14ac:dyDescent="0.25">
      <c r="A248" s="30" t="str">
        <f>IF(F248&lt;&gt;"",1+MAX($A$7:A247),"")</f>
        <v/>
      </c>
      <c r="B248" s="107"/>
      <c r="C248" s="119" t="s">
        <v>183</v>
      </c>
      <c r="E248" s="109"/>
      <c r="J248" s="24"/>
      <c r="K248" s="20"/>
      <c r="L248" s="110"/>
    </row>
    <row r="249" spans="1:12" x14ac:dyDescent="0.25">
      <c r="A249" s="30">
        <f>IF(F249&lt;&gt;"",1+MAX($A$7:A248),"")</f>
        <v>170</v>
      </c>
      <c r="B249" s="107"/>
      <c r="C249" s="121" t="s">
        <v>187</v>
      </c>
      <c r="D249" s="116">
        <v>14</v>
      </c>
      <c r="E249" s="111">
        <v>0</v>
      </c>
      <c r="F249" s="112">
        <f t="shared" ref="F249:F252" si="160">D249*(1+E249)</f>
        <v>14</v>
      </c>
      <c r="G249" s="113" t="s">
        <v>41</v>
      </c>
      <c r="H249" s="113"/>
      <c r="I249" s="113"/>
      <c r="J249" s="114"/>
      <c r="K249" s="115">
        <f t="shared" ref="K249:K252" si="161">J249*F249</f>
        <v>0</v>
      </c>
      <c r="L249" s="110"/>
    </row>
    <row r="250" spans="1:12" x14ac:dyDescent="0.25">
      <c r="A250" s="30">
        <f>IF(F250&lt;&gt;"",1+MAX($A$7:A249),"")</f>
        <v>171</v>
      </c>
      <c r="B250" s="107"/>
      <c r="C250" s="121" t="s">
        <v>188</v>
      </c>
      <c r="D250" s="116">
        <v>15</v>
      </c>
      <c r="E250" s="111">
        <v>0</v>
      </c>
      <c r="F250" s="112">
        <f t="shared" si="160"/>
        <v>15</v>
      </c>
      <c r="G250" s="113" t="s">
        <v>41</v>
      </c>
      <c r="H250" s="113"/>
      <c r="I250" s="113"/>
      <c r="J250" s="114"/>
      <c r="K250" s="115">
        <f t="shared" si="161"/>
        <v>0</v>
      </c>
      <c r="L250" s="110"/>
    </row>
    <row r="251" spans="1:12" x14ac:dyDescent="0.25">
      <c r="A251" s="30">
        <f>IF(F251&lt;&gt;"",1+MAX($A$7:A250),"")</f>
        <v>172</v>
      </c>
      <c r="B251" s="107"/>
      <c r="C251" s="121" t="s">
        <v>189</v>
      </c>
      <c r="D251" s="116">
        <v>19</v>
      </c>
      <c r="E251" s="111">
        <v>0</v>
      </c>
      <c r="F251" s="112">
        <f t="shared" si="160"/>
        <v>19</v>
      </c>
      <c r="G251" s="113" t="s">
        <v>41</v>
      </c>
      <c r="H251" s="113"/>
      <c r="I251" s="113"/>
      <c r="J251" s="114"/>
      <c r="K251" s="115">
        <f t="shared" si="161"/>
        <v>0</v>
      </c>
      <c r="L251" s="110"/>
    </row>
    <row r="252" spans="1:12" x14ac:dyDescent="0.25">
      <c r="A252" s="30">
        <f>IF(F252&lt;&gt;"",1+MAX($A$7:A251),"")</f>
        <v>173</v>
      </c>
      <c r="B252" s="107"/>
      <c r="C252" s="121" t="s">
        <v>190</v>
      </c>
      <c r="D252" s="116">
        <v>8</v>
      </c>
      <c r="E252" s="111">
        <v>0</v>
      </c>
      <c r="F252" s="112">
        <f t="shared" si="160"/>
        <v>8</v>
      </c>
      <c r="G252" s="113" t="s">
        <v>41</v>
      </c>
      <c r="H252" s="113"/>
      <c r="I252" s="113"/>
      <c r="J252" s="114"/>
      <c r="K252" s="115">
        <f t="shared" si="161"/>
        <v>0</v>
      </c>
      <c r="L252" s="110"/>
    </row>
    <row r="253" spans="1:12" x14ac:dyDescent="0.25">
      <c r="A253" s="30">
        <f>IF(F253&lt;&gt;"",1+MAX($A$7:A252),"")</f>
        <v>174</v>
      </c>
      <c r="B253" s="107"/>
      <c r="C253" s="121" t="s">
        <v>191</v>
      </c>
      <c r="D253" s="116">
        <v>15</v>
      </c>
      <c r="E253" s="111">
        <v>0</v>
      </c>
      <c r="F253" s="112">
        <f t="shared" ref="F253:F254" si="162">D253*(1+E253)</f>
        <v>15</v>
      </c>
      <c r="G253" s="113" t="s">
        <v>41</v>
      </c>
      <c r="H253" s="113"/>
      <c r="I253" s="113"/>
      <c r="J253" s="114"/>
      <c r="K253" s="115">
        <f t="shared" ref="K253:K254" si="163">J253*F253</f>
        <v>0</v>
      </c>
      <c r="L253" s="110"/>
    </row>
    <row r="254" spans="1:12" x14ac:dyDescent="0.25">
      <c r="A254" s="30">
        <f>IF(F254&lt;&gt;"",1+MAX($A$7:A253),"")</f>
        <v>175</v>
      </c>
      <c r="B254" s="107"/>
      <c r="C254" s="121" t="s">
        <v>192</v>
      </c>
      <c r="D254" s="116">
        <v>4</v>
      </c>
      <c r="E254" s="111">
        <v>0</v>
      </c>
      <c r="F254" s="112">
        <f t="shared" si="162"/>
        <v>4</v>
      </c>
      <c r="G254" s="113" t="s">
        <v>41</v>
      </c>
      <c r="H254" s="113"/>
      <c r="I254" s="113"/>
      <c r="J254" s="114"/>
      <c r="K254" s="115">
        <f t="shared" si="163"/>
        <v>0</v>
      </c>
      <c r="L254" s="110"/>
    </row>
    <row r="255" spans="1:12" x14ac:dyDescent="0.25">
      <c r="A255" s="30" t="str">
        <f>IF(F255&lt;&gt;"",1+MAX($A$7:A254),"")</f>
        <v/>
      </c>
      <c r="B255" s="107"/>
      <c r="C255" s="119" t="s">
        <v>184</v>
      </c>
      <c r="E255" s="109"/>
      <c r="J255" s="24"/>
      <c r="K255" s="20"/>
      <c r="L255" s="110"/>
    </row>
    <row r="256" spans="1:12" x14ac:dyDescent="0.25">
      <c r="A256" s="30">
        <f>IF(F256&lt;&gt;"",1+MAX($A$7:A255),"")</f>
        <v>176</v>
      </c>
      <c r="B256" s="107"/>
      <c r="C256" s="121" t="s">
        <v>193</v>
      </c>
      <c r="D256" s="116">
        <v>8</v>
      </c>
      <c r="E256" s="111">
        <v>0</v>
      </c>
      <c r="F256" s="112">
        <f t="shared" ref="F256" si="164">D256*(1+E256)</f>
        <v>8</v>
      </c>
      <c r="G256" s="113" t="s">
        <v>41</v>
      </c>
      <c r="H256" s="113"/>
      <c r="I256" s="113"/>
      <c r="J256" s="114"/>
      <c r="K256" s="115">
        <f t="shared" ref="K256" si="165">J256*F256</f>
        <v>0</v>
      </c>
      <c r="L256" s="110"/>
    </row>
    <row r="257" spans="1:12" x14ac:dyDescent="0.25">
      <c r="A257" s="30" t="str">
        <f>IF(F257&lt;&gt;"",1+MAX($A$7:A256),"")</f>
        <v/>
      </c>
      <c r="B257" s="107"/>
      <c r="C257" s="119" t="s">
        <v>185</v>
      </c>
      <c r="E257" s="109"/>
      <c r="J257" s="24"/>
      <c r="K257" s="20"/>
      <c r="L257" s="110"/>
    </row>
    <row r="258" spans="1:12" x14ac:dyDescent="0.25">
      <c r="A258" s="30">
        <f>IF(F258&lt;&gt;"",1+MAX($A$7:A257),"")</f>
        <v>177</v>
      </c>
      <c r="B258" s="107"/>
      <c r="C258" s="121" t="s">
        <v>194</v>
      </c>
      <c r="D258" s="116">
        <v>21</v>
      </c>
      <c r="E258" s="111">
        <v>0</v>
      </c>
      <c r="F258" s="112">
        <f t="shared" ref="F258" si="166">D258*(1+E258)</f>
        <v>21</v>
      </c>
      <c r="G258" s="113" t="s">
        <v>41</v>
      </c>
      <c r="H258" s="113"/>
      <c r="I258" s="113"/>
      <c r="J258" s="114"/>
      <c r="K258" s="115">
        <f t="shared" ref="K258" si="167">J258*F258</f>
        <v>0</v>
      </c>
      <c r="L258" s="110"/>
    </row>
    <row r="259" spans="1:12" x14ac:dyDescent="0.25">
      <c r="A259" s="30">
        <f>IF(F259&lt;&gt;"",1+MAX($A$7:A258),"")</f>
        <v>178</v>
      </c>
      <c r="B259" s="107"/>
      <c r="C259" s="121" t="s">
        <v>195</v>
      </c>
      <c r="D259" s="116">
        <v>19</v>
      </c>
      <c r="E259" s="111">
        <v>0</v>
      </c>
      <c r="F259" s="112">
        <f t="shared" ref="F259" si="168">D259*(1+E259)</f>
        <v>19</v>
      </c>
      <c r="G259" s="113" t="s">
        <v>41</v>
      </c>
      <c r="H259" s="113"/>
      <c r="I259" s="113"/>
      <c r="J259" s="114"/>
      <c r="K259" s="115">
        <f t="shared" ref="K259" si="169">J259*F259</f>
        <v>0</v>
      </c>
      <c r="L259" s="110"/>
    </row>
    <row r="260" spans="1:12" x14ac:dyDescent="0.25">
      <c r="A260" s="30" t="str">
        <f>IF(F260&lt;&gt;"",1+MAX($A$7:A259),"")</f>
        <v/>
      </c>
      <c r="B260" s="107"/>
      <c r="C260" s="119" t="s">
        <v>186</v>
      </c>
      <c r="E260" s="109"/>
      <c r="J260" s="24"/>
      <c r="K260" s="20"/>
      <c r="L260" s="110"/>
    </row>
    <row r="261" spans="1:12" x14ac:dyDescent="0.25">
      <c r="A261" s="30">
        <f>IF(F261&lt;&gt;"",1+MAX($A$7:A260),"")</f>
        <v>179</v>
      </c>
      <c r="B261" s="107"/>
      <c r="C261" s="121" t="s">
        <v>196</v>
      </c>
      <c r="D261" s="116">
        <v>31</v>
      </c>
      <c r="E261" s="111">
        <v>0</v>
      </c>
      <c r="F261" s="112">
        <f t="shared" ref="F261" si="170">D261*(1+E261)</f>
        <v>31</v>
      </c>
      <c r="G261" s="113" t="s">
        <v>41</v>
      </c>
      <c r="H261" s="113"/>
      <c r="I261" s="113"/>
      <c r="J261" s="114"/>
      <c r="K261" s="115">
        <f t="shared" ref="K261" si="171">J261*F261</f>
        <v>0</v>
      </c>
      <c r="L261" s="110"/>
    </row>
    <row r="262" spans="1:12" x14ac:dyDescent="0.25">
      <c r="A262" s="30" t="str">
        <f>IF(F262&lt;&gt;"",1+MAX($A$7:A261),"")</f>
        <v/>
      </c>
      <c r="B262" s="107"/>
      <c r="C262" s="119" t="s">
        <v>94</v>
      </c>
      <c r="D262" s="116"/>
      <c r="E262" s="109"/>
      <c r="J262" s="24"/>
      <c r="K262" s="20"/>
      <c r="L262" s="110"/>
    </row>
    <row r="263" spans="1:12" x14ac:dyDescent="0.25">
      <c r="A263" s="30">
        <f>IF(F263&lt;&gt;"",1+MAX($A$7:A262),"")</f>
        <v>180</v>
      </c>
      <c r="B263" s="107"/>
      <c r="C263" s="121" t="s">
        <v>201</v>
      </c>
      <c r="D263" s="116">
        <v>27</v>
      </c>
      <c r="E263" s="111">
        <v>0</v>
      </c>
      <c r="F263" s="112">
        <f t="shared" ref="F263:F268" si="172">D263*(1+E263)</f>
        <v>27</v>
      </c>
      <c r="G263" s="113" t="s">
        <v>41</v>
      </c>
      <c r="H263" s="113"/>
      <c r="I263" s="113"/>
      <c r="J263" s="114"/>
      <c r="K263" s="115">
        <f t="shared" ref="K263:K268" si="173">J263*F263</f>
        <v>0</v>
      </c>
      <c r="L263" s="110"/>
    </row>
    <row r="264" spans="1:12" x14ac:dyDescent="0.25">
      <c r="A264" s="30">
        <f>IF(F264&lt;&gt;"",1+MAX($A$7:A263),"")</f>
        <v>181</v>
      </c>
      <c r="B264" s="107"/>
      <c r="C264" s="121" t="s">
        <v>202</v>
      </c>
      <c r="D264" s="116">
        <v>48</v>
      </c>
      <c r="E264" s="111">
        <v>0</v>
      </c>
      <c r="F264" s="112">
        <f t="shared" si="172"/>
        <v>48</v>
      </c>
      <c r="G264" s="113" t="s">
        <v>41</v>
      </c>
      <c r="H264" s="113"/>
      <c r="I264" s="113"/>
      <c r="J264" s="114"/>
      <c r="K264" s="115">
        <f t="shared" si="173"/>
        <v>0</v>
      </c>
      <c r="L264" s="110"/>
    </row>
    <row r="265" spans="1:12" ht="30" x14ac:dyDescent="0.25">
      <c r="A265" s="30">
        <f>IF(F265&lt;&gt;"",1+MAX($A$7:A264),"")</f>
        <v>182</v>
      </c>
      <c r="B265" s="107"/>
      <c r="C265" s="121" t="s">
        <v>203</v>
      </c>
      <c r="D265" s="116">
        <v>42</v>
      </c>
      <c r="E265" s="111">
        <v>0</v>
      </c>
      <c r="F265" s="112">
        <f t="shared" si="172"/>
        <v>42</v>
      </c>
      <c r="G265" s="113" t="s">
        <v>41</v>
      </c>
      <c r="H265" s="113"/>
      <c r="I265" s="113"/>
      <c r="J265" s="114"/>
      <c r="K265" s="115">
        <f t="shared" si="173"/>
        <v>0</v>
      </c>
      <c r="L265" s="110"/>
    </row>
    <row r="266" spans="1:12" ht="30" x14ac:dyDescent="0.25">
      <c r="A266" s="30">
        <f>IF(F266&lt;&gt;"",1+MAX($A$7:A265),"")</f>
        <v>183</v>
      </c>
      <c r="B266" s="107"/>
      <c r="C266" s="121" t="s">
        <v>204</v>
      </c>
      <c r="D266" s="116">
        <v>17</v>
      </c>
      <c r="E266" s="111">
        <v>0</v>
      </c>
      <c r="F266" s="112">
        <f t="shared" si="172"/>
        <v>17</v>
      </c>
      <c r="G266" s="113" t="s">
        <v>41</v>
      </c>
      <c r="H266" s="113"/>
      <c r="I266" s="113"/>
      <c r="J266" s="114"/>
      <c r="K266" s="115">
        <f t="shared" si="173"/>
        <v>0</v>
      </c>
      <c r="L266" s="110"/>
    </row>
    <row r="267" spans="1:12" ht="30" x14ac:dyDescent="0.25">
      <c r="A267" s="30">
        <f>IF(F267&lt;&gt;"",1+MAX($A$7:A266),"")</f>
        <v>184</v>
      </c>
      <c r="B267" s="107"/>
      <c r="C267" s="121" t="s">
        <v>205</v>
      </c>
      <c r="D267" s="116">
        <v>33</v>
      </c>
      <c r="E267" s="111">
        <v>0</v>
      </c>
      <c r="F267" s="112">
        <f t="shared" si="172"/>
        <v>33</v>
      </c>
      <c r="G267" s="113" t="s">
        <v>41</v>
      </c>
      <c r="H267" s="113"/>
      <c r="I267" s="113"/>
      <c r="J267" s="114"/>
      <c r="K267" s="115">
        <f t="shared" si="173"/>
        <v>0</v>
      </c>
      <c r="L267" s="110"/>
    </row>
    <row r="268" spans="1:12" x14ac:dyDescent="0.25">
      <c r="A268" s="30">
        <f>IF(F268&lt;&gt;"",1+MAX($A$7:A267),"")</f>
        <v>185</v>
      </c>
      <c r="B268" s="107"/>
      <c r="C268" s="121" t="s">
        <v>206</v>
      </c>
      <c r="D268" s="116">
        <v>70</v>
      </c>
      <c r="E268" s="111">
        <v>0</v>
      </c>
      <c r="F268" s="112">
        <f t="shared" si="172"/>
        <v>70</v>
      </c>
      <c r="G268" s="113" t="s">
        <v>41</v>
      </c>
      <c r="H268" s="113"/>
      <c r="I268" s="113"/>
      <c r="J268" s="114"/>
      <c r="K268" s="115">
        <f t="shared" si="173"/>
        <v>0</v>
      </c>
      <c r="L268" s="110"/>
    </row>
    <row r="269" spans="1:12" x14ac:dyDescent="0.25">
      <c r="A269" s="30">
        <f>IF(F269&lt;&gt;"",1+MAX($A$7:A268),"")</f>
        <v>186</v>
      </c>
      <c r="B269" s="107"/>
      <c r="C269" s="121" t="s">
        <v>208</v>
      </c>
      <c r="D269" s="116">
        <v>31</v>
      </c>
      <c r="E269" s="111">
        <v>0</v>
      </c>
      <c r="F269" s="112">
        <f t="shared" ref="F269" si="174">D269*(1+E269)</f>
        <v>31</v>
      </c>
      <c r="G269" s="113" t="s">
        <v>41</v>
      </c>
      <c r="H269" s="113"/>
      <c r="I269" s="113"/>
      <c r="J269" s="114"/>
      <c r="K269" s="115">
        <f t="shared" ref="K269" si="175">J269*F269</f>
        <v>0</v>
      </c>
      <c r="L269" s="110"/>
    </row>
    <row r="270" spans="1:12" x14ac:dyDescent="0.25">
      <c r="A270" s="30">
        <f>IF(F270&lt;&gt;"",1+MAX($A$7:A269),"")</f>
        <v>187</v>
      </c>
      <c r="B270" s="107"/>
      <c r="C270" s="121" t="s">
        <v>207</v>
      </c>
      <c r="D270" s="116">
        <v>30</v>
      </c>
      <c r="E270" s="111">
        <v>0</v>
      </c>
      <c r="F270" s="112">
        <f t="shared" ref="F270" si="176">D270*(1+E270)</f>
        <v>30</v>
      </c>
      <c r="G270" s="113" t="s">
        <v>41</v>
      </c>
      <c r="H270" s="113"/>
      <c r="I270" s="113"/>
      <c r="J270" s="114"/>
      <c r="K270" s="115">
        <f t="shared" ref="K270" si="177">J270*F270</f>
        <v>0</v>
      </c>
      <c r="L270" s="110"/>
    </row>
    <row r="271" spans="1:12" x14ac:dyDescent="0.25">
      <c r="A271" s="30">
        <f>IF(F271&lt;&gt;"",1+MAX($A$7:A270),"")</f>
        <v>188</v>
      </c>
      <c r="B271" s="107"/>
      <c r="C271" s="121" t="s">
        <v>200</v>
      </c>
      <c r="D271" s="116">
        <v>103</v>
      </c>
      <c r="E271" s="111">
        <v>0</v>
      </c>
      <c r="F271" s="112">
        <f t="shared" ref="F271" si="178">D271*(1+E271)</f>
        <v>103</v>
      </c>
      <c r="G271" s="113" t="s">
        <v>41</v>
      </c>
      <c r="H271" s="113"/>
      <c r="I271" s="113"/>
      <c r="J271" s="114"/>
      <c r="K271" s="115">
        <f t="shared" ref="K271" si="179">J271*F271</f>
        <v>0</v>
      </c>
      <c r="L271" s="110"/>
    </row>
    <row r="272" spans="1:12" ht="30" x14ac:dyDescent="0.25">
      <c r="A272" s="30">
        <f>IF(F272&lt;&gt;"",1+MAX($A$7:A271),"")</f>
        <v>189</v>
      </c>
      <c r="B272" s="107"/>
      <c r="C272" s="121" t="s">
        <v>199</v>
      </c>
      <c r="D272" s="116">
        <v>59</v>
      </c>
      <c r="E272" s="111">
        <v>0</v>
      </c>
      <c r="F272" s="112">
        <f t="shared" ref="F272" si="180">D272*(1+E272)</f>
        <v>59</v>
      </c>
      <c r="G272" s="113" t="s">
        <v>41</v>
      </c>
      <c r="H272" s="113"/>
      <c r="I272" s="113"/>
      <c r="J272" s="114"/>
      <c r="K272" s="115">
        <f t="shared" ref="K272" si="181">J272*F272</f>
        <v>0</v>
      </c>
      <c r="L272" s="110"/>
    </row>
    <row r="273" spans="1:12" x14ac:dyDescent="0.25">
      <c r="A273" s="30">
        <f>IF(F273&lt;&gt;"",1+MAX($A$7:A272),"")</f>
        <v>190</v>
      </c>
      <c r="B273" s="107"/>
      <c r="C273" s="121" t="s">
        <v>198</v>
      </c>
      <c r="D273" s="116">
        <v>26</v>
      </c>
      <c r="E273" s="111">
        <v>0</v>
      </c>
      <c r="F273" s="112">
        <f t="shared" ref="F273" si="182">D273*(1+E273)</f>
        <v>26</v>
      </c>
      <c r="G273" s="113" t="s">
        <v>41</v>
      </c>
      <c r="H273" s="113"/>
      <c r="I273" s="113"/>
      <c r="J273" s="114"/>
      <c r="K273" s="115">
        <f t="shared" ref="K273" si="183">J273*F273</f>
        <v>0</v>
      </c>
      <c r="L273" s="110"/>
    </row>
    <row r="274" spans="1:12" x14ac:dyDescent="0.25">
      <c r="A274" s="30">
        <f>IF(F274&lt;&gt;"",1+MAX($A$7:A273),"")</f>
        <v>191</v>
      </c>
      <c r="B274" s="107"/>
      <c r="C274" s="121" t="s">
        <v>197</v>
      </c>
      <c r="D274" s="116">
        <v>30</v>
      </c>
      <c r="E274" s="111">
        <v>0</v>
      </c>
      <c r="F274" s="112">
        <f t="shared" ref="F274" si="184">D274*(1+E274)</f>
        <v>30</v>
      </c>
      <c r="G274" s="113" t="s">
        <v>41</v>
      </c>
      <c r="H274" s="113"/>
      <c r="I274" s="113"/>
      <c r="J274" s="114"/>
      <c r="K274" s="115">
        <f t="shared" ref="K274" si="185">J274*F274</f>
        <v>0</v>
      </c>
      <c r="L274" s="110"/>
    </row>
    <row r="275" spans="1:12" x14ac:dyDescent="0.25">
      <c r="A275" s="30">
        <f>IF(F275&lt;&gt;"",1+MAX($A$7:A274),"")</f>
        <v>192</v>
      </c>
      <c r="B275" s="107"/>
      <c r="C275" s="121" t="s">
        <v>210</v>
      </c>
      <c r="D275" s="116">
        <v>38540</v>
      </c>
      <c r="E275" s="111">
        <v>0.1</v>
      </c>
      <c r="F275" s="112">
        <f t="shared" ref="F275" si="186">D275*(1+E275)</f>
        <v>42394</v>
      </c>
      <c r="G275" s="113" t="s">
        <v>42</v>
      </c>
      <c r="H275" s="113"/>
      <c r="I275" s="113"/>
      <c r="J275" s="114"/>
      <c r="K275" s="115">
        <f t="shared" ref="K275" si="187">J275*F275</f>
        <v>0</v>
      </c>
      <c r="L275" s="110"/>
    </row>
    <row r="276" spans="1:12" x14ac:dyDescent="0.25">
      <c r="A276" s="30">
        <f>IF(F276&lt;&gt;"",1+MAX($A$7:A275),"")</f>
        <v>193</v>
      </c>
      <c r="B276" s="107"/>
      <c r="C276" s="121" t="s">
        <v>209</v>
      </c>
      <c r="D276" s="116">
        <v>37865</v>
      </c>
      <c r="E276" s="111">
        <v>0.1</v>
      </c>
      <c r="F276" s="112">
        <f t="shared" ref="F276" si="188">D276*(1+E276)</f>
        <v>41651.5</v>
      </c>
      <c r="G276" s="113" t="s">
        <v>42</v>
      </c>
      <c r="H276" s="113"/>
      <c r="I276" s="113"/>
      <c r="J276" s="114"/>
      <c r="K276" s="115">
        <f t="shared" ref="K276" si="189">J276*F276</f>
        <v>0</v>
      </c>
      <c r="L276" s="110"/>
    </row>
    <row r="277" spans="1:12" x14ac:dyDescent="0.25">
      <c r="A277" s="30" t="str">
        <f>IF(F277&lt;&gt;"",1+MAX($A$7:A276),"")</f>
        <v/>
      </c>
      <c r="B277" s="107"/>
      <c r="C277" s="121"/>
      <c r="D277" s="116"/>
      <c r="E277" s="111"/>
      <c r="F277" s="112"/>
      <c r="G277" s="113"/>
      <c r="H277" s="113"/>
      <c r="I277" s="113"/>
      <c r="J277" s="114"/>
      <c r="K277" s="115"/>
      <c r="L277" s="110"/>
    </row>
    <row r="278" spans="1:12" s="37" customFormat="1" x14ac:dyDescent="0.25">
      <c r="A278" s="30" t="str">
        <f>IF(F278&lt;&gt;"",1+MAX($A$7:A277),"")</f>
        <v/>
      </c>
      <c r="B278" s="31"/>
      <c r="C278" s="123" t="s">
        <v>211</v>
      </c>
      <c r="D278" s="39"/>
      <c r="E278" s="28"/>
      <c r="F278" s="32"/>
      <c r="G278" s="29"/>
      <c r="H278" s="29"/>
      <c r="I278" s="29"/>
      <c r="J278" s="36"/>
      <c r="K278" s="34"/>
      <c r="L278" s="35"/>
    </row>
    <row r="279" spans="1:12" x14ac:dyDescent="0.25">
      <c r="A279" s="30">
        <f>IF(F279&lt;&gt;"",1+MAX($A$7:A278),"")</f>
        <v>194</v>
      </c>
      <c r="B279" s="107"/>
      <c r="C279" s="121" t="s">
        <v>213</v>
      </c>
      <c r="D279" s="116">
        <v>11</v>
      </c>
      <c r="E279" s="111">
        <v>0</v>
      </c>
      <c r="F279" s="112">
        <f t="shared" ref="F279:F291" si="190">D279*(1+E279)</f>
        <v>11</v>
      </c>
      <c r="G279" s="113" t="s">
        <v>41</v>
      </c>
      <c r="H279" s="113"/>
      <c r="I279" s="113"/>
      <c r="J279" s="114"/>
      <c r="K279" s="115">
        <f t="shared" ref="K279:K291" si="191">J279*F279</f>
        <v>0</v>
      </c>
      <c r="L279" s="110"/>
    </row>
    <row r="280" spans="1:12" x14ac:dyDescent="0.25">
      <c r="A280" s="30">
        <f>IF(F280&lt;&gt;"",1+MAX($A$7:A279),"")</f>
        <v>195</v>
      </c>
      <c r="B280" s="107"/>
      <c r="C280" s="121" t="s">
        <v>214</v>
      </c>
      <c r="D280" s="116">
        <v>45</v>
      </c>
      <c r="E280" s="111">
        <v>0</v>
      </c>
      <c r="F280" s="112">
        <f t="shared" si="190"/>
        <v>45</v>
      </c>
      <c r="G280" s="113" t="s">
        <v>41</v>
      </c>
      <c r="H280" s="113"/>
      <c r="I280" s="113"/>
      <c r="J280" s="114"/>
      <c r="K280" s="115">
        <f t="shared" si="191"/>
        <v>0</v>
      </c>
      <c r="L280" s="110"/>
    </row>
    <row r="281" spans="1:12" x14ac:dyDescent="0.25">
      <c r="A281" s="30">
        <f>IF(F281&lt;&gt;"",1+MAX($A$7:A280),"")</f>
        <v>196</v>
      </c>
      <c r="B281" s="107"/>
      <c r="C281" s="121" t="s">
        <v>215</v>
      </c>
      <c r="D281" s="116">
        <v>40</v>
      </c>
      <c r="E281" s="111">
        <v>0</v>
      </c>
      <c r="F281" s="112">
        <f t="shared" si="190"/>
        <v>40</v>
      </c>
      <c r="G281" s="113" t="s">
        <v>41</v>
      </c>
      <c r="H281" s="113"/>
      <c r="I281" s="113"/>
      <c r="J281" s="114"/>
      <c r="K281" s="115">
        <f t="shared" si="191"/>
        <v>0</v>
      </c>
      <c r="L281" s="110"/>
    </row>
    <row r="282" spans="1:12" x14ac:dyDescent="0.25">
      <c r="A282" s="30">
        <f>IF(F282&lt;&gt;"",1+MAX($A$7:A281),"")</f>
        <v>197</v>
      </c>
      <c r="B282" s="107"/>
      <c r="C282" s="121" t="s">
        <v>216</v>
      </c>
      <c r="D282" s="116">
        <v>172</v>
      </c>
      <c r="E282" s="111">
        <v>0</v>
      </c>
      <c r="F282" s="112">
        <f t="shared" si="190"/>
        <v>172</v>
      </c>
      <c r="G282" s="113" t="s">
        <v>41</v>
      </c>
      <c r="H282" s="113"/>
      <c r="I282" s="113"/>
      <c r="J282" s="114"/>
      <c r="K282" s="115">
        <f t="shared" si="191"/>
        <v>0</v>
      </c>
      <c r="L282" s="110"/>
    </row>
    <row r="283" spans="1:12" x14ac:dyDescent="0.25">
      <c r="A283" s="30">
        <f>IF(F283&lt;&gt;"",1+MAX($A$7:A282),"")</f>
        <v>198</v>
      </c>
      <c r="B283" s="107"/>
      <c r="C283" s="121" t="s">
        <v>217</v>
      </c>
      <c r="D283" s="116">
        <v>95</v>
      </c>
      <c r="E283" s="111">
        <v>0</v>
      </c>
      <c r="F283" s="112">
        <f t="shared" si="190"/>
        <v>95</v>
      </c>
      <c r="G283" s="113" t="s">
        <v>41</v>
      </c>
      <c r="H283" s="113"/>
      <c r="I283" s="113"/>
      <c r="J283" s="114"/>
      <c r="K283" s="115">
        <f t="shared" si="191"/>
        <v>0</v>
      </c>
      <c r="L283" s="110"/>
    </row>
    <row r="284" spans="1:12" x14ac:dyDescent="0.25">
      <c r="A284" s="30">
        <f>IF(F284&lt;&gt;"",1+MAX($A$7:A283),"")</f>
        <v>199</v>
      </c>
      <c r="B284" s="107"/>
      <c r="C284" s="121" t="s">
        <v>218</v>
      </c>
      <c r="D284" s="116">
        <v>208</v>
      </c>
      <c r="E284" s="111">
        <v>0</v>
      </c>
      <c r="F284" s="112">
        <f t="shared" si="190"/>
        <v>208</v>
      </c>
      <c r="G284" s="113" t="s">
        <v>41</v>
      </c>
      <c r="H284" s="113"/>
      <c r="I284" s="113"/>
      <c r="J284" s="114"/>
      <c r="K284" s="115">
        <f t="shared" si="191"/>
        <v>0</v>
      </c>
      <c r="L284" s="110"/>
    </row>
    <row r="285" spans="1:12" x14ac:dyDescent="0.25">
      <c r="A285" s="30">
        <f>IF(F285&lt;&gt;"",1+MAX($A$7:A284),"")</f>
        <v>200</v>
      </c>
      <c r="B285" s="107"/>
      <c r="C285" s="121" t="s">
        <v>219</v>
      </c>
      <c r="D285" s="116">
        <v>100</v>
      </c>
      <c r="E285" s="111">
        <v>0</v>
      </c>
      <c r="F285" s="112">
        <f t="shared" si="190"/>
        <v>100</v>
      </c>
      <c r="G285" s="113" t="s">
        <v>41</v>
      </c>
      <c r="H285" s="113"/>
      <c r="I285" s="113"/>
      <c r="J285" s="114"/>
      <c r="K285" s="115">
        <f t="shared" si="191"/>
        <v>0</v>
      </c>
      <c r="L285" s="110"/>
    </row>
    <row r="286" spans="1:12" x14ac:dyDescent="0.25">
      <c r="A286" s="30">
        <f>IF(F286&lt;&gt;"",1+MAX($A$7:A285),"")</f>
        <v>201</v>
      </c>
      <c r="B286" s="107"/>
      <c r="C286" s="121" t="s">
        <v>220</v>
      </c>
      <c r="D286" s="116">
        <v>16</v>
      </c>
      <c r="E286" s="111">
        <v>0</v>
      </c>
      <c r="F286" s="112">
        <f t="shared" si="190"/>
        <v>16</v>
      </c>
      <c r="G286" s="113" t="s">
        <v>41</v>
      </c>
      <c r="H286" s="113"/>
      <c r="I286" s="113"/>
      <c r="J286" s="114"/>
      <c r="K286" s="115">
        <f t="shared" si="191"/>
        <v>0</v>
      </c>
      <c r="L286" s="110"/>
    </row>
    <row r="287" spans="1:12" ht="15.75" customHeight="1" x14ac:dyDescent="0.25">
      <c r="A287" s="30">
        <f>IF(F287&lt;&gt;"",1+MAX($A$7:A286),"")</f>
        <v>202</v>
      </c>
      <c r="B287" s="107"/>
      <c r="C287" s="121" t="s">
        <v>221</v>
      </c>
      <c r="D287" s="116">
        <v>132</v>
      </c>
      <c r="E287" s="111">
        <v>0</v>
      </c>
      <c r="F287" s="112">
        <f t="shared" si="190"/>
        <v>132</v>
      </c>
      <c r="G287" s="113" t="s">
        <v>41</v>
      </c>
      <c r="H287" s="113"/>
      <c r="I287" s="113"/>
      <c r="J287" s="114"/>
      <c r="K287" s="115">
        <f t="shared" si="191"/>
        <v>0</v>
      </c>
      <c r="L287" s="110"/>
    </row>
    <row r="288" spans="1:12" ht="15.75" customHeight="1" x14ac:dyDescent="0.25">
      <c r="A288" s="30">
        <f>IF(F288&lt;&gt;"",1+MAX($A$7:A287),"")</f>
        <v>203</v>
      </c>
      <c r="B288" s="107"/>
      <c r="C288" s="121" t="s">
        <v>222</v>
      </c>
      <c r="D288" s="116">
        <v>226</v>
      </c>
      <c r="E288" s="111">
        <v>0</v>
      </c>
      <c r="F288" s="112">
        <f t="shared" ref="F288:F290" si="192">D288*(1+E288)</f>
        <v>226</v>
      </c>
      <c r="G288" s="113" t="s">
        <v>41</v>
      </c>
      <c r="H288" s="113"/>
      <c r="I288" s="113"/>
      <c r="J288" s="114"/>
      <c r="K288" s="115">
        <f t="shared" ref="K288:K290" si="193">J288*F288</f>
        <v>0</v>
      </c>
      <c r="L288" s="110"/>
    </row>
    <row r="289" spans="1:12" ht="15.75" customHeight="1" x14ac:dyDescent="0.25">
      <c r="A289" s="30">
        <f>IF(F289&lt;&gt;"",1+MAX($A$7:A288),"")</f>
        <v>204</v>
      </c>
      <c r="B289" s="107"/>
      <c r="C289" s="121" t="s">
        <v>223</v>
      </c>
      <c r="D289" s="116">
        <v>242</v>
      </c>
      <c r="E289" s="111">
        <v>0</v>
      </c>
      <c r="F289" s="112">
        <f t="shared" si="192"/>
        <v>242</v>
      </c>
      <c r="G289" s="113" t="s">
        <v>41</v>
      </c>
      <c r="H289" s="113"/>
      <c r="I289" s="113"/>
      <c r="J289" s="114"/>
      <c r="K289" s="115">
        <f t="shared" si="193"/>
        <v>0</v>
      </c>
      <c r="L289" s="110"/>
    </row>
    <row r="290" spans="1:12" ht="15.75" customHeight="1" x14ac:dyDescent="0.25">
      <c r="A290" s="30">
        <f>IF(F290&lt;&gt;"",1+MAX($A$7:A289),"")</f>
        <v>205</v>
      </c>
      <c r="B290" s="107"/>
      <c r="C290" s="121" t="s">
        <v>224</v>
      </c>
      <c r="D290" s="116">
        <v>106</v>
      </c>
      <c r="E290" s="111">
        <v>0</v>
      </c>
      <c r="F290" s="112">
        <f t="shared" si="192"/>
        <v>106</v>
      </c>
      <c r="G290" s="113" t="s">
        <v>41</v>
      </c>
      <c r="H290" s="113"/>
      <c r="I290" s="113"/>
      <c r="J290" s="114"/>
      <c r="K290" s="115">
        <f t="shared" si="193"/>
        <v>0</v>
      </c>
      <c r="L290" s="110"/>
    </row>
    <row r="291" spans="1:12" x14ac:dyDescent="0.25">
      <c r="A291" s="30">
        <f>IF(F291&lt;&gt;"",1+MAX($A$7:A290),"")</f>
        <v>206</v>
      </c>
      <c r="B291" s="107"/>
      <c r="C291" s="121" t="s">
        <v>210</v>
      </c>
      <c r="D291" s="116">
        <v>14365</v>
      </c>
      <c r="E291" s="111">
        <v>0.1</v>
      </c>
      <c r="F291" s="112">
        <f t="shared" si="190"/>
        <v>15801.500000000002</v>
      </c>
      <c r="G291" s="113" t="s">
        <v>42</v>
      </c>
      <c r="H291" s="113"/>
      <c r="I291" s="113"/>
      <c r="J291" s="114"/>
      <c r="K291" s="115">
        <f t="shared" si="191"/>
        <v>0</v>
      </c>
      <c r="L291" s="110"/>
    </row>
    <row r="292" spans="1:12" x14ac:dyDescent="0.25">
      <c r="A292" s="30" t="str">
        <f>IF(F292&lt;&gt;"",1+MAX($A$7:A291),"")</f>
        <v/>
      </c>
      <c r="B292" s="107"/>
      <c r="C292" s="121"/>
      <c r="D292" s="116"/>
      <c r="E292" s="111"/>
      <c r="F292" s="112"/>
      <c r="G292" s="113"/>
      <c r="H292" s="113"/>
      <c r="I292" s="113"/>
      <c r="J292" s="114"/>
      <c r="K292" s="115"/>
      <c r="L292" s="110"/>
    </row>
    <row r="293" spans="1:12" s="37" customFormat="1" x14ac:dyDescent="0.25">
      <c r="A293" s="30" t="str">
        <f>IF(F293&lt;&gt;"",1+MAX($A$7:A292),"")</f>
        <v/>
      </c>
      <c r="B293" s="31"/>
      <c r="C293" s="123" t="s">
        <v>212</v>
      </c>
      <c r="D293" s="39"/>
      <c r="E293" s="28"/>
      <c r="F293" s="32"/>
      <c r="G293" s="29"/>
      <c r="H293" s="29"/>
      <c r="I293" s="29"/>
      <c r="J293" s="36"/>
      <c r="K293" s="34"/>
      <c r="L293" s="35"/>
    </row>
    <row r="294" spans="1:12" x14ac:dyDescent="0.25">
      <c r="A294" s="30">
        <f>IF(F294&lt;&gt;"",1+MAX($A$7:A293),"")</f>
        <v>207</v>
      </c>
      <c r="B294" s="107"/>
      <c r="C294" s="121" t="s">
        <v>213</v>
      </c>
      <c r="D294" s="116">
        <v>4</v>
      </c>
      <c r="E294" s="111">
        <v>0</v>
      </c>
      <c r="F294" s="112">
        <f t="shared" ref="F294:F306" si="194">D294*(1+E294)</f>
        <v>4</v>
      </c>
      <c r="G294" s="113" t="s">
        <v>41</v>
      </c>
      <c r="H294" s="113"/>
      <c r="I294" s="113"/>
      <c r="J294" s="114"/>
      <c r="K294" s="115">
        <f t="shared" ref="K294:K306" si="195">J294*F294</f>
        <v>0</v>
      </c>
      <c r="L294" s="110"/>
    </row>
    <row r="295" spans="1:12" x14ac:dyDescent="0.25">
      <c r="A295" s="30">
        <f>IF(F295&lt;&gt;"",1+MAX($A$7:A294),"")</f>
        <v>208</v>
      </c>
      <c r="B295" s="107"/>
      <c r="C295" s="121" t="s">
        <v>214</v>
      </c>
      <c r="D295" s="116">
        <v>14</v>
      </c>
      <c r="E295" s="111">
        <v>0</v>
      </c>
      <c r="F295" s="112">
        <f t="shared" si="194"/>
        <v>14</v>
      </c>
      <c r="G295" s="113" t="s">
        <v>41</v>
      </c>
      <c r="H295" s="113"/>
      <c r="I295" s="113"/>
      <c r="J295" s="114"/>
      <c r="K295" s="115">
        <f t="shared" si="195"/>
        <v>0</v>
      </c>
      <c r="L295" s="110"/>
    </row>
    <row r="296" spans="1:12" x14ac:dyDescent="0.25">
      <c r="A296" s="30">
        <f>IF(F296&lt;&gt;"",1+MAX($A$7:A295),"")</f>
        <v>209</v>
      </c>
      <c r="B296" s="107"/>
      <c r="C296" s="121" t="s">
        <v>215</v>
      </c>
      <c r="D296" s="116">
        <v>15</v>
      </c>
      <c r="E296" s="111">
        <v>0</v>
      </c>
      <c r="F296" s="112">
        <f t="shared" si="194"/>
        <v>15</v>
      </c>
      <c r="G296" s="113" t="s">
        <v>41</v>
      </c>
      <c r="H296" s="113"/>
      <c r="I296" s="113"/>
      <c r="J296" s="114"/>
      <c r="K296" s="115">
        <f t="shared" si="195"/>
        <v>0</v>
      </c>
      <c r="L296" s="110"/>
    </row>
    <row r="297" spans="1:12" x14ac:dyDescent="0.25">
      <c r="A297" s="30">
        <f>IF(F297&lt;&gt;"",1+MAX($A$7:A296),"")</f>
        <v>210</v>
      </c>
      <c r="B297" s="107"/>
      <c r="C297" s="121" t="s">
        <v>216</v>
      </c>
      <c r="D297" s="116">
        <v>93</v>
      </c>
      <c r="E297" s="111">
        <v>0</v>
      </c>
      <c r="F297" s="112">
        <f t="shared" si="194"/>
        <v>93</v>
      </c>
      <c r="G297" s="113" t="s">
        <v>41</v>
      </c>
      <c r="H297" s="113"/>
      <c r="I297" s="113"/>
      <c r="J297" s="114"/>
      <c r="K297" s="115">
        <f t="shared" si="195"/>
        <v>0</v>
      </c>
      <c r="L297" s="110"/>
    </row>
    <row r="298" spans="1:12" x14ac:dyDescent="0.25">
      <c r="A298" s="30">
        <f>IF(F298&lt;&gt;"",1+MAX($A$7:A297),"")</f>
        <v>211</v>
      </c>
      <c r="B298" s="107"/>
      <c r="C298" s="121" t="s">
        <v>217</v>
      </c>
      <c r="D298" s="116">
        <v>44</v>
      </c>
      <c r="E298" s="111">
        <v>0</v>
      </c>
      <c r="F298" s="112">
        <f t="shared" si="194"/>
        <v>44</v>
      </c>
      <c r="G298" s="113" t="s">
        <v>41</v>
      </c>
      <c r="H298" s="113"/>
      <c r="I298" s="113"/>
      <c r="J298" s="114"/>
      <c r="K298" s="115">
        <f t="shared" si="195"/>
        <v>0</v>
      </c>
      <c r="L298" s="110"/>
    </row>
    <row r="299" spans="1:12" x14ac:dyDescent="0.25">
      <c r="A299" s="30">
        <f>IF(F299&lt;&gt;"",1+MAX($A$7:A298),"")</f>
        <v>212</v>
      </c>
      <c r="B299" s="107"/>
      <c r="C299" s="121" t="s">
        <v>218</v>
      </c>
      <c r="D299" s="116">
        <v>116</v>
      </c>
      <c r="E299" s="111">
        <v>0</v>
      </c>
      <c r="F299" s="112">
        <f t="shared" si="194"/>
        <v>116</v>
      </c>
      <c r="G299" s="113" t="s">
        <v>41</v>
      </c>
      <c r="H299" s="113"/>
      <c r="I299" s="113"/>
      <c r="J299" s="114"/>
      <c r="K299" s="115">
        <f t="shared" si="195"/>
        <v>0</v>
      </c>
      <c r="L299" s="110"/>
    </row>
    <row r="300" spans="1:12" x14ac:dyDescent="0.25">
      <c r="A300" s="30">
        <f>IF(F300&lt;&gt;"",1+MAX($A$7:A299),"")</f>
        <v>213</v>
      </c>
      <c r="B300" s="107"/>
      <c r="C300" s="121" t="s">
        <v>219</v>
      </c>
      <c r="D300" s="116">
        <v>41</v>
      </c>
      <c r="E300" s="111">
        <v>0</v>
      </c>
      <c r="F300" s="112">
        <f t="shared" ref="F300:F305" si="196">D300*(1+E300)</f>
        <v>41</v>
      </c>
      <c r="G300" s="113" t="s">
        <v>41</v>
      </c>
      <c r="H300" s="113"/>
      <c r="I300" s="113"/>
      <c r="J300" s="114"/>
      <c r="K300" s="115">
        <f t="shared" ref="K300:K305" si="197">J300*F300</f>
        <v>0</v>
      </c>
      <c r="L300" s="110"/>
    </row>
    <row r="301" spans="1:12" x14ac:dyDescent="0.25">
      <c r="A301" s="30">
        <f>IF(F301&lt;&gt;"",1+MAX($A$7:A300),"")</f>
        <v>214</v>
      </c>
      <c r="B301" s="107"/>
      <c r="C301" s="121" t="s">
        <v>220</v>
      </c>
      <c r="D301" s="116">
        <v>10</v>
      </c>
      <c r="E301" s="111">
        <v>0</v>
      </c>
      <c r="F301" s="112">
        <f t="shared" si="196"/>
        <v>10</v>
      </c>
      <c r="G301" s="113" t="s">
        <v>41</v>
      </c>
      <c r="H301" s="113"/>
      <c r="I301" s="113"/>
      <c r="J301" s="114"/>
      <c r="K301" s="115">
        <f t="shared" si="197"/>
        <v>0</v>
      </c>
      <c r="L301" s="110"/>
    </row>
    <row r="302" spans="1:12" x14ac:dyDescent="0.25">
      <c r="A302" s="30">
        <f>IF(F302&lt;&gt;"",1+MAX($A$7:A301),"")</f>
        <v>215</v>
      </c>
      <c r="B302" s="107"/>
      <c r="C302" s="121" t="s">
        <v>221</v>
      </c>
      <c r="D302" s="116">
        <v>106</v>
      </c>
      <c r="E302" s="111">
        <v>0</v>
      </c>
      <c r="F302" s="112">
        <f t="shared" si="196"/>
        <v>106</v>
      </c>
      <c r="G302" s="113" t="s">
        <v>41</v>
      </c>
      <c r="H302" s="113"/>
      <c r="I302" s="113"/>
      <c r="J302" s="114"/>
      <c r="K302" s="115">
        <f t="shared" si="197"/>
        <v>0</v>
      </c>
      <c r="L302" s="110"/>
    </row>
    <row r="303" spans="1:12" x14ac:dyDescent="0.25">
      <c r="A303" s="30">
        <f>IF(F303&lt;&gt;"",1+MAX($A$7:A302),"")</f>
        <v>216</v>
      </c>
      <c r="B303" s="107"/>
      <c r="C303" s="121" t="s">
        <v>222</v>
      </c>
      <c r="D303" s="116">
        <v>108</v>
      </c>
      <c r="E303" s="111">
        <v>0</v>
      </c>
      <c r="F303" s="112">
        <f t="shared" si="196"/>
        <v>108</v>
      </c>
      <c r="G303" s="113" t="s">
        <v>41</v>
      </c>
      <c r="H303" s="113"/>
      <c r="I303" s="113"/>
      <c r="J303" s="114"/>
      <c r="K303" s="115">
        <f t="shared" si="197"/>
        <v>0</v>
      </c>
      <c r="L303" s="110"/>
    </row>
    <row r="304" spans="1:12" x14ac:dyDescent="0.25">
      <c r="A304" s="30">
        <f>IF(F304&lt;&gt;"",1+MAX($A$7:A303),"")</f>
        <v>217</v>
      </c>
      <c r="B304" s="107"/>
      <c r="C304" s="121" t="s">
        <v>223</v>
      </c>
      <c r="D304" s="116">
        <v>152</v>
      </c>
      <c r="E304" s="111">
        <v>0</v>
      </c>
      <c r="F304" s="112">
        <f t="shared" si="196"/>
        <v>152</v>
      </c>
      <c r="G304" s="113" t="s">
        <v>41</v>
      </c>
      <c r="H304" s="113"/>
      <c r="I304" s="113"/>
      <c r="J304" s="114"/>
      <c r="K304" s="115">
        <f t="shared" si="197"/>
        <v>0</v>
      </c>
      <c r="L304" s="110"/>
    </row>
    <row r="305" spans="1:12" x14ac:dyDescent="0.25">
      <c r="A305" s="30">
        <f>IF(F305&lt;&gt;"",1+MAX($A$7:A304),"")</f>
        <v>218</v>
      </c>
      <c r="B305" s="107"/>
      <c r="C305" s="121" t="s">
        <v>224</v>
      </c>
      <c r="D305" s="116">
        <v>37</v>
      </c>
      <c r="E305" s="111">
        <v>0</v>
      </c>
      <c r="F305" s="112">
        <f t="shared" si="196"/>
        <v>37</v>
      </c>
      <c r="G305" s="113" t="s">
        <v>41</v>
      </c>
      <c r="H305" s="113"/>
      <c r="I305" s="113"/>
      <c r="J305" s="114"/>
      <c r="K305" s="115">
        <f t="shared" si="197"/>
        <v>0</v>
      </c>
      <c r="L305" s="110"/>
    </row>
    <row r="306" spans="1:12" x14ac:dyDescent="0.25">
      <c r="A306" s="30">
        <f>IF(F306&lt;&gt;"",1+MAX($A$7:A305),"")</f>
        <v>219</v>
      </c>
      <c r="B306" s="107"/>
      <c r="C306" s="121" t="s">
        <v>210</v>
      </c>
      <c r="D306" s="116">
        <v>6245</v>
      </c>
      <c r="E306" s="111">
        <v>0.1</v>
      </c>
      <c r="F306" s="112">
        <f t="shared" si="194"/>
        <v>6869.5000000000009</v>
      </c>
      <c r="G306" s="113" t="s">
        <v>42</v>
      </c>
      <c r="H306" s="113"/>
      <c r="I306" s="113"/>
      <c r="J306" s="114"/>
      <c r="K306" s="115">
        <f t="shared" si="195"/>
        <v>0</v>
      </c>
      <c r="L306" s="110"/>
    </row>
    <row r="307" spans="1:12" x14ac:dyDescent="0.25">
      <c r="A307" s="30" t="str">
        <f>IF(F307&lt;&gt;"",1+MAX($A$7:A306),"")</f>
        <v/>
      </c>
      <c r="B307" s="107"/>
      <c r="C307" s="119" t="s">
        <v>124</v>
      </c>
      <c r="D307" s="116"/>
      <c r="E307" s="109"/>
      <c r="J307" s="24"/>
      <c r="K307" s="20"/>
      <c r="L307" s="110"/>
    </row>
    <row r="308" spans="1:12" ht="60" x14ac:dyDescent="0.25">
      <c r="A308" s="30">
        <f>IF(F308&lt;&gt;"",1+MAX($A$7:A307),"")</f>
        <v>220</v>
      </c>
      <c r="B308" s="107"/>
      <c r="C308" s="121" t="s">
        <v>225</v>
      </c>
      <c r="D308" s="116">
        <v>2120</v>
      </c>
      <c r="E308" s="111">
        <v>0.1</v>
      </c>
      <c r="F308" s="112">
        <f t="shared" ref="F308" si="198">D308*(1+E308)</f>
        <v>2332</v>
      </c>
      <c r="G308" s="113" t="s">
        <v>40</v>
      </c>
      <c r="H308" s="113"/>
      <c r="I308" s="113"/>
      <c r="J308" s="114"/>
      <c r="K308" s="115">
        <f t="shared" ref="K308" si="199">J308*F308</f>
        <v>0</v>
      </c>
      <c r="L308" s="110"/>
    </row>
    <row r="309" spans="1:12" s="37" customFormat="1" ht="15.75" thickBot="1" x14ac:dyDescent="0.3">
      <c r="A309" s="30" t="str">
        <f>IF(F309&lt;&gt;"",1+MAX($A$7:A308),"")</f>
        <v/>
      </c>
      <c r="B309" s="31"/>
      <c r="D309" s="39"/>
      <c r="E309" s="28"/>
      <c r="F309" s="32"/>
      <c r="G309" s="29"/>
      <c r="H309" s="29"/>
      <c r="I309" s="29"/>
      <c r="J309" s="33"/>
      <c r="K309" s="34"/>
      <c r="L309" s="35"/>
    </row>
    <row r="310" spans="1:12" ht="15.75" thickBot="1" x14ac:dyDescent="0.25">
      <c r="A310" s="19"/>
      <c r="B310" s="7" t="s">
        <v>34</v>
      </c>
      <c r="C310" s="43" t="s">
        <v>35</v>
      </c>
      <c r="D310" s="93"/>
      <c r="E310" s="8"/>
      <c r="F310" s="8"/>
      <c r="G310" s="7"/>
      <c r="H310" s="7"/>
      <c r="I310" s="7"/>
      <c r="J310" s="25"/>
      <c r="K310" s="21"/>
      <c r="L310" s="9">
        <f>SUM(K311:K332)</f>
        <v>0</v>
      </c>
    </row>
    <row r="311" spans="1:12" s="37" customFormat="1" x14ac:dyDescent="0.25">
      <c r="A311" s="30" t="str">
        <f>IF(F311&lt;&gt;"",1+MAX($A$7:A310),"")</f>
        <v/>
      </c>
      <c r="B311" s="31"/>
      <c r="C311" s="38"/>
      <c r="D311" s="39"/>
      <c r="E311" s="28"/>
      <c r="F311" s="32"/>
      <c r="G311" s="29"/>
      <c r="H311" s="29"/>
      <c r="I311" s="29"/>
      <c r="J311" s="36"/>
      <c r="K311" s="34"/>
      <c r="L311" s="35"/>
    </row>
    <row r="312" spans="1:12" s="37" customFormat="1" x14ac:dyDescent="0.25">
      <c r="A312" s="30" t="str">
        <f>IF(F312&lt;&gt;"",1+MAX($A$7:A311),"")</f>
        <v/>
      </c>
      <c r="B312" s="31"/>
      <c r="C312" s="44" t="s">
        <v>45</v>
      </c>
      <c r="D312" s="39"/>
      <c r="E312" s="28"/>
      <c r="F312" s="32"/>
      <c r="G312" s="29"/>
      <c r="H312" s="29"/>
      <c r="I312" s="29"/>
      <c r="J312" s="36"/>
      <c r="K312" s="34"/>
      <c r="L312" s="35"/>
    </row>
    <row r="313" spans="1:12" s="37" customFormat="1" x14ac:dyDescent="0.25">
      <c r="A313" s="30">
        <f>IF(F313&lt;&gt;"",1+MAX($A$7:A312),"")</f>
        <v>221</v>
      </c>
      <c r="B313" s="31"/>
      <c r="C313" s="122" t="s">
        <v>87</v>
      </c>
      <c r="D313" s="117">
        <f>370570/43560</f>
        <v>8.5071166207529849</v>
      </c>
      <c r="E313" s="28">
        <v>0.1</v>
      </c>
      <c r="F313" s="32">
        <f t="shared" ref="F313" si="200">D313*(1+E313)</f>
        <v>9.3578282828282848</v>
      </c>
      <c r="G313" s="29" t="s">
        <v>86</v>
      </c>
      <c r="H313" s="29"/>
      <c r="I313" s="29"/>
      <c r="J313" s="33"/>
      <c r="K313" s="34">
        <f t="shared" ref="K313" si="201">J313*F313</f>
        <v>0</v>
      </c>
      <c r="L313" s="35"/>
    </row>
    <row r="314" spans="1:12" s="37" customFormat="1" x14ac:dyDescent="0.25">
      <c r="A314" s="30">
        <f>IF(F314&lt;&gt;"",1+MAX($A$7:A313),"")</f>
        <v>222</v>
      </c>
      <c r="B314" s="31"/>
      <c r="C314" s="122" t="s">
        <v>104</v>
      </c>
      <c r="D314" s="39">
        <f>1190+235+10160+51405+24120+25980</f>
        <v>113090</v>
      </c>
      <c r="E314" s="28">
        <v>0.1</v>
      </c>
      <c r="F314" s="32">
        <f t="shared" ref="F314" si="202">D314*(1+E314)</f>
        <v>124399.00000000001</v>
      </c>
      <c r="G314" s="29" t="s">
        <v>42</v>
      </c>
      <c r="H314" s="29"/>
      <c r="I314" s="29"/>
      <c r="J314" s="33"/>
      <c r="K314" s="34">
        <f t="shared" ref="K314" si="203">J314*F314</f>
        <v>0</v>
      </c>
      <c r="L314" s="35"/>
    </row>
    <row r="315" spans="1:12" s="37" customFormat="1" x14ac:dyDescent="0.25">
      <c r="A315" s="30">
        <f>IF(F315&lt;&gt;"",1+MAX($A$7:A314),"")</f>
        <v>223</v>
      </c>
      <c r="B315" s="31"/>
      <c r="C315" s="122" t="s">
        <v>125</v>
      </c>
      <c r="D315" s="39">
        <f>370570/27</f>
        <v>13724.814814814816</v>
      </c>
      <c r="E315" s="28">
        <v>0.1</v>
      </c>
      <c r="F315" s="32">
        <f t="shared" ref="F315" si="204">D315*(1+E315)</f>
        <v>15097.296296296299</v>
      </c>
      <c r="G315" s="29" t="s">
        <v>48</v>
      </c>
      <c r="H315" s="29"/>
      <c r="I315" s="29"/>
      <c r="J315" s="33"/>
      <c r="K315" s="34">
        <f t="shared" ref="K315" si="205">J315*F315</f>
        <v>0</v>
      </c>
      <c r="L315" s="35"/>
    </row>
    <row r="316" spans="1:12" s="37" customFormat="1" x14ac:dyDescent="0.25">
      <c r="A316" s="30">
        <f>IF(F316&lt;&gt;"",1+MAX($A$7:A315),"")</f>
        <v>224</v>
      </c>
      <c r="B316" s="31"/>
      <c r="C316" s="122" t="s">
        <v>46</v>
      </c>
      <c r="D316" s="39">
        <f>((20075*1.5)+(2620*2.5)+(21395*3)+(7360*4)+(14360*5)+(6240*5))/27</f>
        <v>8640.2777777777774</v>
      </c>
      <c r="E316" s="28">
        <v>0.1</v>
      </c>
      <c r="F316" s="32">
        <f t="shared" ref="F316:F317" si="206">D316*(1+E316)</f>
        <v>9504.3055555555566</v>
      </c>
      <c r="G316" s="29" t="s">
        <v>48</v>
      </c>
      <c r="H316" s="29"/>
      <c r="I316" s="29"/>
      <c r="J316" s="33"/>
      <c r="K316" s="34">
        <f t="shared" ref="K316:K317" si="207">J316*F316</f>
        <v>0</v>
      </c>
      <c r="L316" s="35"/>
    </row>
    <row r="317" spans="1:12" s="37" customFormat="1" x14ac:dyDescent="0.25">
      <c r="A317" s="30">
        <f>IF(F317&lt;&gt;"",1+MAX($A$7:A316),"")</f>
        <v>225</v>
      </c>
      <c r="B317" s="31"/>
      <c r="C317" s="122" t="s">
        <v>47</v>
      </c>
      <c r="D317" s="39">
        <f>((3580*1)+(21430*2)+(16100*2.5)+(65290*3)+(92360*5)+(22050*9)+(15260*2)+(8802*4)+(7995*2)+(6980*4))/27</f>
        <v>38979.555555555555</v>
      </c>
      <c r="E317" s="28">
        <v>0.1</v>
      </c>
      <c r="F317" s="32">
        <f t="shared" si="206"/>
        <v>42877.511111111111</v>
      </c>
      <c r="G317" s="29" t="s">
        <v>48</v>
      </c>
      <c r="H317" s="29"/>
      <c r="I317" s="29"/>
      <c r="J317" s="33"/>
      <c r="K317" s="34">
        <f t="shared" si="207"/>
        <v>0</v>
      </c>
      <c r="L317" s="35"/>
    </row>
    <row r="318" spans="1:12" s="37" customFormat="1" x14ac:dyDescent="0.25">
      <c r="A318" s="30" t="str">
        <f>IF(F318&lt;&gt;"",1+MAX($A$7:A317),"")</f>
        <v/>
      </c>
      <c r="B318" s="31"/>
      <c r="C318" s="122"/>
      <c r="D318" s="39"/>
      <c r="E318" s="28"/>
      <c r="F318" s="32"/>
      <c r="G318" s="29"/>
      <c r="H318" s="29"/>
      <c r="I318" s="29"/>
      <c r="J318" s="33"/>
      <c r="K318" s="34"/>
      <c r="L318" s="35"/>
    </row>
    <row r="319" spans="1:12" s="37" customFormat="1" x14ac:dyDescent="0.25">
      <c r="A319" s="30" t="str">
        <f>IF(F319&lt;&gt;"",1+MAX($A$7:A318),"")</f>
        <v/>
      </c>
      <c r="B319" s="31"/>
      <c r="C319" s="123" t="s">
        <v>136</v>
      </c>
      <c r="D319" s="39"/>
      <c r="E319" s="28"/>
      <c r="F319" s="32"/>
      <c r="G319" s="29"/>
      <c r="H319" s="29"/>
      <c r="I319" s="29"/>
      <c r="J319" s="36"/>
      <c r="K319" s="34"/>
      <c r="L319" s="35"/>
    </row>
    <row r="320" spans="1:12" s="37" customFormat="1" x14ac:dyDescent="0.25">
      <c r="A320" s="30">
        <f>IF(F320&lt;&gt;"",1+MAX($A$7:A319),"")</f>
        <v>226</v>
      </c>
      <c r="B320" s="31"/>
      <c r="C320" s="122" t="s">
        <v>141</v>
      </c>
      <c r="D320" s="39">
        <v>14365</v>
      </c>
      <c r="E320" s="28">
        <v>0.1</v>
      </c>
      <c r="F320" s="32">
        <f t="shared" ref="F320" si="208">D320*(1+E320)</f>
        <v>15801.500000000002</v>
      </c>
      <c r="G320" s="29" t="s">
        <v>42</v>
      </c>
      <c r="H320" s="29"/>
      <c r="I320" s="29"/>
      <c r="J320" s="33"/>
      <c r="K320" s="34">
        <f t="shared" ref="K320" si="209">J320*F320</f>
        <v>0</v>
      </c>
      <c r="L320" s="35"/>
    </row>
    <row r="321" spans="1:12" s="37" customFormat="1" x14ac:dyDescent="0.25">
      <c r="A321" s="30">
        <f>IF(F321&lt;&gt;"",1+MAX($A$7:A320),"")</f>
        <v>227</v>
      </c>
      <c r="B321" s="31"/>
      <c r="C321" s="122" t="s">
        <v>144</v>
      </c>
      <c r="D321" s="39">
        <f>(14365*1.5)/27</f>
        <v>798.05555555555554</v>
      </c>
      <c r="E321" s="28">
        <v>0.1</v>
      </c>
      <c r="F321" s="32">
        <f t="shared" ref="F321:F324" si="210">D321*(1+E321)</f>
        <v>877.8611111111112</v>
      </c>
      <c r="G321" s="29" t="s">
        <v>48</v>
      </c>
      <c r="H321" s="29"/>
      <c r="I321" s="29"/>
      <c r="J321" s="33"/>
      <c r="K321" s="34">
        <f t="shared" ref="K321:K324" si="211">J321*F321</f>
        <v>0</v>
      </c>
      <c r="L321" s="35"/>
    </row>
    <row r="322" spans="1:12" s="37" customFormat="1" x14ac:dyDescent="0.25">
      <c r="A322" s="30">
        <f>IF(F322&lt;&gt;"",1+MAX($A$7:A321),"")</f>
        <v>228</v>
      </c>
      <c r="B322" s="31"/>
      <c r="C322" s="122" t="s">
        <v>145</v>
      </c>
      <c r="D322" s="39">
        <f>(14365*0.16)/27</f>
        <v>85.125925925925927</v>
      </c>
      <c r="E322" s="28">
        <v>0.1</v>
      </c>
      <c r="F322" s="32">
        <f t="shared" si="210"/>
        <v>93.638518518518524</v>
      </c>
      <c r="G322" s="29" t="s">
        <v>48</v>
      </c>
      <c r="H322" s="29"/>
      <c r="I322" s="29"/>
      <c r="J322" s="33"/>
      <c r="K322" s="34">
        <f t="shared" si="211"/>
        <v>0</v>
      </c>
      <c r="L322" s="35"/>
    </row>
    <row r="323" spans="1:12" s="37" customFormat="1" x14ac:dyDescent="0.25">
      <c r="A323" s="30">
        <f>IF(F323&lt;&gt;"",1+MAX($A$7:A322),"")</f>
        <v>229</v>
      </c>
      <c r="B323" s="31"/>
      <c r="C323" s="122" t="s">
        <v>146</v>
      </c>
      <c r="D323" s="39">
        <f>(14365*0.33)/27</f>
        <v>175.57222222222222</v>
      </c>
      <c r="E323" s="28">
        <v>0.1</v>
      </c>
      <c r="F323" s="32">
        <f t="shared" si="210"/>
        <v>193.12944444444446</v>
      </c>
      <c r="G323" s="29" t="s">
        <v>48</v>
      </c>
      <c r="H323" s="29"/>
      <c r="I323" s="29"/>
      <c r="J323" s="33"/>
      <c r="K323" s="34">
        <f t="shared" si="211"/>
        <v>0</v>
      </c>
      <c r="L323" s="35"/>
    </row>
    <row r="324" spans="1:12" s="37" customFormat="1" x14ac:dyDescent="0.25">
      <c r="A324" s="30">
        <f>IF(F324&lt;&gt;"",1+MAX($A$7:A323),"")</f>
        <v>230</v>
      </c>
      <c r="B324" s="31"/>
      <c r="C324" s="122" t="s">
        <v>147</v>
      </c>
      <c r="D324" s="39">
        <f>(14365*3)/27</f>
        <v>1596.1111111111111</v>
      </c>
      <c r="E324" s="28">
        <v>0.1</v>
      </c>
      <c r="F324" s="32">
        <f t="shared" si="210"/>
        <v>1755.7222222222224</v>
      </c>
      <c r="G324" s="29" t="s">
        <v>48</v>
      </c>
      <c r="H324" s="29"/>
      <c r="I324" s="29"/>
      <c r="J324" s="33"/>
      <c r="K324" s="34">
        <f t="shared" si="211"/>
        <v>0</v>
      </c>
      <c r="L324" s="35"/>
    </row>
    <row r="325" spans="1:12" s="37" customFormat="1" x14ac:dyDescent="0.25">
      <c r="A325" s="30" t="str">
        <f>IF(F325&lt;&gt;"",1+MAX($A$7:A324),"")</f>
        <v/>
      </c>
      <c r="B325" s="31"/>
      <c r="C325" s="122"/>
      <c r="D325" s="39"/>
      <c r="E325" s="28"/>
      <c r="F325" s="32"/>
      <c r="G325" s="29"/>
      <c r="H325" s="29"/>
      <c r="I325" s="29"/>
      <c r="J325" s="33"/>
      <c r="K325" s="34"/>
      <c r="L325" s="35"/>
    </row>
    <row r="326" spans="1:12" s="37" customFormat="1" x14ac:dyDescent="0.25">
      <c r="A326" s="30" t="str">
        <f>IF(F326&lt;&gt;"",1+MAX($A$7:A325),"")</f>
        <v/>
      </c>
      <c r="B326" s="31"/>
      <c r="C326" s="123" t="s">
        <v>137</v>
      </c>
      <c r="D326" s="39"/>
      <c r="E326" s="28"/>
      <c r="F326" s="32"/>
      <c r="G326" s="29"/>
      <c r="H326" s="29"/>
      <c r="I326" s="29"/>
      <c r="J326" s="36"/>
      <c r="K326" s="34"/>
      <c r="L326" s="35"/>
    </row>
    <row r="327" spans="1:12" s="37" customFormat="1" x14ac:dyDescent="0.25">
      <c r="A327" s="30">
        <f>IF(F327&lt;&gt;"",1+MAX($A$7:A326),"")</f>
        <v>231</v>
      </c>
      <c r="B327" s="31"/>
      <c r="C327" s="122" t="s">
        <v>141</v>
      </c>
      <c r="D327" s="39">
        <v>6245</v>
      </c>
      <c r="E327" s="28">
        <v>0.1</v>
      </c>
      <c r="F327" s="32">
        <f t="shared" ref="F327" si="212">D327*(1+E327)</f>
        <v>6869.5000000000009</v>
      </c>
      <c r="G327" s="29" t="s">
        <v>42</v>
      </c>
      <c r="H327" s="29"/>
      <c r="I327" s="29"/>
      <c r="J327" s="33"/>
      <c r="K327" s="34">
        <f t="shared" ref="K327" si="213">J327*F327</f>
        <v>0</v>
      </c>
      <c r="L327" s="35"/>
    </row>
    <row r="328" spans="1:12" s="37" customFormat="1" x14ac:dyDescent="0.25">
      <c r="A328" s="30">
        <f>IF(F328&lt;&gt;"",1+MAX($A$7:A327),"")</f>
        <v>232</v>
      </c>
      <c r="B328" s="31"/>
      <c r="C328" s="122" t="s">
        <v>144</v>
      </c>
      <c r="D328" s="39">
        <f>(6245*1.5)/27</f>
        <v>346.94444444444446</v>
      </c>
      <c r="E328" s="28">
        <v>0.1</v>
      </c>
      <c r="F328" s="32">
        <f t="shared" ref="F328:F331" si="214">D328*(1+E328)</f>
        <v>381.63888888888891</v>
      </c>
      <c r="G328" s="29" t="s">
        <v>48</v>
      </c>
      <c r="H328" s="29"/>
      <c r="I328" s="29"/>
      <c r="J328" s="33"/>
      <c r="K328" s="34">
        <f t="shared" ref="K328:K331" si="215">J328*F328</f>
        <v>0</v>
      </c>
      <c r="L328" s="35"/>
    </row>
    <row r="329" spans="1:12" s="37" customFormat="1" x14ac:dyDescent="0.25">
      <c r="A329" s="30">
        <f>IF(F329&lt;&gt;"",1+MAX($A$7:A328),"")</f>
        <v>233</v>
      </c>
      <c r="B329" s="31"/>
      <c r="C329" s="122" t="s">
        <v>145</v>
      </c>
      <c r="D329" s="39">
        <f>(6245*0.16)/27</f>
        <v>37.007407407407406</v>
      </c>
      <c r="E329" s="28">
        <v>0.1</v>
      </c>
      <c r="F329" s="32">
        <f t="shared" si="214"/>
        <v>40.708148148148148</v>
      </c>
      <c r="G329" s="29" t="s">
        <v>48</v>
      </c>
      <c r="H329" s="29"/>
      <c r="I329" s="29"/>
      <c r="J329" s="33"/>
      <c r="K329" s="34">
        <f t="shared" si="215"/>
        <v>0</v>
      </c>
      <c r="L329" s="35"/>
    </row>
    <row r="330" spans="1:12" s="37" customFormat="1" x14ac:dyDescent="0.25">
      <c r="A330" s="30">
        <f>IF(F330&lt;&gt;"",1+MAX($A$7:A329),"")</f>
        <v>234</v>
      </c>
      <c r="B330" s="31"/>
      <c r="C330" s="122" t="s">
        <v>146</v>
      </c>
      <c r="D330" s="39">
        <f>(6245*0.33)/27</f>
        <v>76.327777777777769</v>
      </c>
      <c r="E330" s="28">
        <v>0.1</v>
      </c>
      <c r="F330" s="32">
        <f t="shared" si="214"/>
        <v>83.960555555555558</v>
      </c>
      <c r="G330" s="29" t="s">
        <v>48</v>
      </c>
      <c r="H330" s="29"/>
      <c r="I330" s="29"/>
      <c r="J330" s="33"/>
      <c r="K330" s="34">
        <f t="shared" si="215"/>
        <v>0</v>
      </c>
      <c r="L330" s="35"/>
    </row>
    <row r="331" spans="1:12" s="37" customFormat="1" x14ac:dyDescent="0.25">
      <c r="A331" s="30">
        <f>IF(F331&lt;&gt;"",1+MAX($A$7:A330),"")</f>
        <v>235</v>
      </c>
      <c r="B331" s="31"/>
      <c r="C331" s="122" t="s">
        <v>147</v>
      </c>
      <c r="D331" s="39">
        <f>(6245*3)/27</f>
        <v>693.88888888888891</v>
      </c>
      <c r="E331" s="28">
        <v>0.1</v>
      </c>
      <c r="F331" s="32">
        <f t="shared" si="214"/>
        <v>763.27777777777783</v>
      </c>
      <c r="G331" s="29" t="s">
        <v>48</v>
      </c>
      <c r="H331" s="29"/>
      <c r="I331" s="29"/>
      <c r="J331" s="33"/>
      <c r="K331" s="34">
        <f t="shared" si="215"/>
        <v>0</v>
      </c>
      <c r="L331" s="35"/>
    </row>
    <row r="332" spans="1:12" s="37" customFormat="1" x14ac:dyDescent="0.25">
      <c r="A332" s="30" t="str">
        <f>IF(F332&lt;&gt;"",1+MAX($A$7:A317),"")</f>
        <v/>
      </c>
      <c r="B332" s="31"/>
      <c r="C332" s="38"/>
      <c r="D332" s="39"/>
      <c r="E332" s="28"/>
      <c r="F332" s="32"/>
      <c r="G332" s="29"/>
      <c r="H332" s="29"/>
      <c r="I332" s="29"/>
      <c r="J332" s="33"/>
      <c r="K332" s="34"/>
      <c r="L332" s="35"/>
    </row>
    <row r="333" spans="1:12" ht="15.75" thickBot="1" x14ac:dyDescent="0.25">
      <c r="A333" s="18"/>
      <c r="B333" s="12"/>
      <c r="C333" s="46"/>
      <c r="D333" s="94"/>
      <c r="E333" s="13"/>
      <c r="F333" s="14"/>
      <c r="G333" s="15"/>
      <c r="H333" s="15"/>
      <c r="I333" s="15"/>
      <c r="J333" s="26"/>
      <c r="K333" s="22"/>
      <c r="L333" s="16"/>
    </row>
    <row r="334" spans="1:12" ht="15.75" thickBot="1" x14ac:dyDescent="0.25">
      <c r="A334" s="48" t="s">
        <v>1</v>
      </c>
      <c r="B334" s="49"/>
      <c r="C334" s="50"/>
      <c r="D334" s="95"/>
      <c r="E334" s="51"/>
      <c r="F334" s="51"/>
      <c r="G334" s="52"/>
      <c r="H334" s="52"/>
      <c r="I334" s="52"/>
      <c r="J334" s="53"/>
      <c r="K334" s="54">
        <f>SUM(K6:K333)</f>
        <v>0</v>
      </c>
      <c r="L334" s="55">
        <f>SUM(L6:L333)</f>
        <v>0</v>
      </c>
    </row>
    <row r="335" spans="1:12" ht="15.75" thickBot="1" x14ac:dyDescent="0.25">
      <c r="A335" s="48" t="s">
        <v>10</v>
      </c>
      <c r="B335" s="49"/>
      <c r="C335" s="50"/>
      <c r="D335" s="95"/>
      <c r="E335" s="51"/>
      <c r="F335" s="51"/>
      <c r="G335" s="52"/>
      <c r="H335" s="52"/>
      <c r="I335" s="52"/>
      <c r="J335" s="56">
        <v>0.25</v>
      </c>
      <c r="K335" s="54">
        <f>J335*K334</f>
        <v>0</v>
      </c>
      <c r="L335" s="55">
        <f>J335*L334</f>
        <v>0</v>
      </c>
    </row>
    <row r="336" spans="1:12" ht="15.75" thickBot="1" x14ac:dyDescent="0.25">
      <c r="A336" s="57" t="s">
        <v>9</v>
      </c>
      <c r="B336" s="58"/>
      <c r="C336" s="59"/>
      <c r="D336" s="96"/>
      <c r="E336" s="60"/>
      <c r="F336" s="60"/>
      <c r="G336" s="61"/>
      <c r="H336" s="61"/>
      <c r="I336" s="61"/>
      <c r="J336" s="62"/>
      <c r="K336" s="63">
        <f>SUM(K334:K335)</f>
        <v>0</v>
      </c>
      <c r="L336" s="64">
        <f>SUM(L334:L335)</f>
        <v>0</v>
      </c>
    </row>
    <row r="337" spans="1:12" ht="15.75" thickBot="1" x14ac:dyDescent="0.25">
      <c r="A337" s="65"/>
      <c r="B337" s="66"/>
      <c r="C337" s="67"/>
      <c r="D337" s="97"/>
      <c r="E337" s="68"/>
      <c r="F337" s="68"/>
      <c r="G337" s="69"/>
      <c r="H337" s="69"/>
      <c r="I337" s="69"/>
      <c r="J337" s="70"/>
      <c r="K337" s="71"/>
      <c r="L337" s="72"/>
    </row>
    <row r="338" spans="1:12" ht="15.75" thickBot="1" x14ac:dyDescent="0.25">
      <c r="A338" s="73"/>
      <c r="B338" s="49"/>
      <c r="C338" s="74" t="s">
        <v>39</v>
      </c>
      <c r="D338" s="98"/>
      <c r="E338" s="75"/>
      <c r="F338" s="75"/>
      <c r="G338" s="52"/>
      <c r="H338" s="52"/>
      <c r="I338" s="52"/>
      <c r="J338" s="49"/>
      <c r="K338" s="76"/>
      <c r="L338" s="77"/>
    </row>
    <row r="339" spans="1:12" ht="15.75" thickBot="1" x14ac:dyDescent="0.25">
      <c r="A339" s="78" t="s">
        <v>36</v>
      </c>
      <c r="B339" s="79"/>
      <c r="C339" s="80"/>
      <c r="D339" s="99"/>
      <c r="E339" s="79"/>
      <c r="F339" s="79"/>
      <c r="G339" s="81"/>
      <c r="H339" s="81"/>
      <c r="I339" s="81"/>
      <c r="J339" s="79"/>
      <c r="K339" s="79"/>
      <c r="L339" s="82"/>
    </row>
    <row r="340" spans="1:12" x14ac:dyDescent="0.25">
      <c r="A340" s="83" t="s">
        <v>37</v>
      </c>
      <c r="B340" s="84"/>
      <c r="C340" s="85"/>
      <c r="D340" s="100"/>
      <c r="E340" s="84"/>
      <c r="F340" s="84"/>
      <c r="G340" s="86"/>
      <c r="H340" s="86"/>
      <c r="I340" s="86"/>
      <c r="J340" s="84"/>
      <c r="K340" s="84"/>
      <c r="L340" s="87"/>
    </row>
    <row r="341" spans="1:12" x14ac:dyDescent="0.25">
      <c r="A341" s="88" t="s">
        <v>38</v>
      </c>
      <c r="B341" s="88"/>
      <c r="C341" s="89"/>
      <c r="D341" s="101"/>
      <c r="E341" s="88"/>
      <c r="F341" s="88"/>
      <c r="G341" s="90"/>
      <c r="H341" s="90"/>
      <c r="I341" s="90"/>
      <c r="J341" s="88"/>
      <c r="K341" s="88"/>
      <c r="L341" s="88"/>
    </row>
    <row r="342" spans="1:12" x14ac:dyDescent="0.25">
      <c r="A342" s="88" t="s">
        <v>51</v>
      </c>
      <c r="B342" s="88"/>
      <c r="C342" s="89"/>
      <c r="D342" s="101"/>
      <c r="E342" s="88"/>
      <c r="F342" s="88"/>
      <c r="G342" s="90"/>
      <c r="H342" s="90"/>
      <c r="I342" s="90"/>
      <c r="J342" s="88"/>
      <c r="K342" s="88"/>
      <c r="L342" s="88"/>
    </row>
    <row r="343" spans="1:12" x14ac:dyDescent="0.2">
      <c r="B343" s="108" t="s">
        <v>88</v>
      </c>
    </row>
    <row r="344" spans="1:12" x14ac:dyDescent="0.2">
      <c r="B344" s="107" t="s">
        <v>89</v>
      </c>
    </row>
    <row r="345" spans="1:12" x14ac:dyDescent="0.2">
      <c r="B345" s="107" t="s">
        <v>90</v>
      </c>
    </row>
    <row r="346" spans="1:12" x14ac:dyDescent="0.2">
      <c r="B346" s="2" t="s">
        <v>91</v>
      </c>
    </row>
    <row r="347" spans="1:12" x14ac:dyDescent="0.2">
      <c r="B347" s="2" t="s">
        <v>92</v>
      </c>
    </row>
  </sheetData>
  <mergeCells count="6">
    <mergeCell ref="F4:L4"/>
    <mergeCell ref="F1:L1"/>
    <mergeCell ref="F2:L3"/>
    <mergeCell ref="A1:C1"/>
    <mergeCell ref="A2:C2"/>
    <mergeCell ref="A3:C3"/>
  </mergeCells>
  <printOptions horizontalCentered="1" verticalCentered="1"/>
  <pageMargins left="0.7" right="0.7" top="0.75" bottom="0.75" header="0.3" footer="0.3"/>
  <pageSetup scale="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Sheet1</vt:lpstr>
      <vt:lpstr>DETAILED ESTIMATE</vt:lpstr>
      <vt:lpstr>Chart1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Marks</dc:creator>
  <cp:lastModifiedBy>Abdul Wajid</cp:lastModifiedBy>
  <cp:lastPrinted>2018-10-19T19:32:17Z</cp:lastPrinted>
  <dcterms:created xsi:type="dcterms:W3CDTF">2004-05-05T14:08:18Z</dcterms:created>
  <dcterms:modified xsi:type="dcterms:W3CDTF">2022-06-03T11:12:19Z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ies>
</file>