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 defaultThemeVersion="124226"/>
  <xr:revisionPtr revIDLastSave="0" documentId="13_ncr:1_{0A61ED9D-D1C4-437F-A46E-6E0C30A4762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stimate Statement" sheetId="11" r:id="rId1"/>
  </sheets>
  <definedNames>
    <definedName name="_xlnm._FilterDatabase" localSheetId="0" hidden="1">'Estimate Statement'!#REF!</definedName>
    <definedName name="_xlnm.Print_Area" localSheetId="0">'Estimate Statement'!$A$1:$P$92</definedName>
    <definedName name="_xlnm.Print_Titles" localSheetId="0">'Estimate Statement'!$4:$4</definedName>
  </definedNames>
  <calcPr calcId="181029"/>
</workbook>
</file>

<file path=xl/calcChain.xml><?xml version="1.0" encoding="utf-8"?>
<calcChain xmlns="http://schemas.openxmlformats.org/spreadsheetml/2006/main">
  <c r="K66" i="11" l="1"/>
  <c r="I66" i="11"/>
  <c r="I65" i="11"/>
  <c r="K65" i="11"/>
  <c r="K64" i="11"/>
  <c r="I64" i="11"/>
  <c r="K63" i="11"/>
  <c r="I63" i="11"/>
  <c r="K62" i="11"/>
  <c r="I62" i="11"/>
  <c r="K61" i="11"/>
  <c r="I61" i="11"/>
  <c r="K60" i="11"/>
  <c r="I60" i="11"/>
  <c r="K59" i="11"/>
  <c r="I59" i="11"/>
  <c r="K56" i="11"/>
  <c r="I56" i="11"/>
  <c r="K55" i="11"/>
  <c r="I55" i="11"/>
  <c r="K54" i="11"/>
  <c r="I54" i="11"/>
  <c r="K53" i="11"/>
  <c r="I53" i="11"/>
  <c r="K50" i="11"/>
  <c r="I50" i="11"/>
  <c r="K49" i="11"/>
  <c r="I49" i="11"/>
  <c r="K48" i="11"/>
  <c r="I48" i="11"/>
  <c r="K47" i="11"/>
  <c r="I47" i="11"/>
  <c r="K46" i="11"/>
  <c r="I46" i="11"/>
  <c r="K45" i="11"/>
  <c r="I45" i="11"/>
  <c r="K42" i="11"/>
  <c r="I42" i="11"/>
  <c r="K39" i="11"/>
  <c r="I39" i="11"/>
  <c r="K38" i="11"/>
  <c r="I38" i="11"/>
  <c r="K37" i="11"/>
  <c r="I37" i="11"/>
  <c r="K36" i="11"/>
  <c r="I36" i="11"/>
  <c r="K35" i="11"/>
  <c r="I35" i="11"/>
  <c r="K32" i="11"/>
  <c r="I32" i="11"/>
  <c r="K31" i="11"/>
  <c r="I31" i="11"/>
  <c r="K30" i="11"/>
  <c r="I30" i="11"/>
  <c r="K27" i="11"/>
  <c r="I27" i="11"/>
  <c r="K26" i="11"/>
  <c r="I26" i="11"/>
  <c r="K25" i="11"/>
  <c r="I25" i="11"/>
  <c r="K16" i="11"/>
  <c r="I16" i="11"/>
  <c r="I15" i="11"/>
  <c r="K15" i="11"/>
  <c r="K12" i="11"/>
  <c r="I12" i="11"/>
  <c r="K9" i="11"/>
  <c r="I9" i="11"/>
  <c r="L77" i="11" l="1"/>
  <c r="L76" i="11"/>
  <c r="L75" i="11"/>
  <c r="L74" i="11"/>
  <c r="J74" i="11"/>
  <c r="L73" i="11"/>
  <c r="L72" i="11"/>
  <c r="L71" i="11"/>
  <c r="L70" i="11"/>
  <c r="L66" i="11"/>
  <c r="L65" i="11"/>
  <c r="L64" i="11"/>
  <c r="L63" i="11"/>
  <c r="L62" i="11"/>
  <c r="L61" i="11"/>
  <c r="L60" i="11"/>
  <c r="L59" i="11"/>
  <c r="L56" i="11"/>
  <c r="L55" i="11"/>
  <c r="L54" i="11"/>
  <c r="L53" i="11"/>
  <c r="L50" i="11"/>
  <c r="L49" i="11"/>
  <c r="M48" i="11"/>
  <c r="L48" i="11"/>
  <c r="L47" i="11"/>
  <c r="L46" i="11"/>
  <c r="L45" i="11"/>
  <c r="M42" i="11"/>
  <c r="L42" i="11"/>
  <c r="L39" i="11"/>
  <c r="L38" i="11"/>
  <c r="L37" i="11"/>
  <c r="L36" i="11"/>
  <c r="L35" i="11"/>
  <c r="L32" i="11"/>
  <c r="L31" i="11"/>
  <c r="L30" i="11"/>
  <c r="L27" i="11"/>
  <c r="L26" i="11"/>
  <c r="L25" i="11"/>
  <c r="L22" i="11"/>
  <c r="L19" i="11"/>
  <c r="L16" i="11"/>
  <c r="L15" i="11"/>
  <c r="L12" i="11"/>
  <c r="L9" i="11"/>
  <c r="A78" i="11"/>
  <c r="A69" i="11"/>
  <c r="A68" i="11"/>
  <c r="A67" i="11"/>
  <c r="A58" i="11"/>
  <c r="A57" i="11"/>
  <c r="A11" i="11"/>
  <c r="A7" i="11"/>
  <c r="G77" i="11"/>
  <c r="J77" i="11" s="1"/>
  <c r="G76" i="11"/>
  <c r="J76" i="11" s="1"/>
  <c r="G75" i="11"/>
  <c r="M75" i="11" s="1"/>
  <c r="G74" i="11"/>
  <c r="M74" i="11" s="1"/>
  <c r="G73" i="11"/>
  <c r="M73" i="11" s="1"/>
  <c r="G72" i="11"/>
  <c r="M72" i="11" s="1"/>
  <c r="G71" i="11"/>
  <c r="M71" i="11" s="1"/>
  <c r="G70" i="11"/>
  <c r="J70" i="11" s="1"/>
  <c r="G66" i="11"/>
  <c r="J66" i="11" s="1"/>
  <c r="G65" i="11"/>
  <c r="M65" i="11" s="1"/>
  <c r="G64" i="11"/>
  <c r="J64" i="11" s="1"/>
  <c r="G63" i="11"/>
  <c r="M63" i="11" s="1"/>
  <c r="G62" i="11"/>
  <c r="G61" i="11"/>
  <c r="M61" i="11" s="1"/>
  <c r="G60" i="11"/>
  <c r="M60" i="11" s="1"/>
  <c r="G59" i="11"/>
  <c r="M59" i="11" s="1"/>
  <c r="G56" i="11"/>
  <c r="M56" i="11" s="1"/>
  <c r="G55" i="11"/>
  <c r="M55" i="11" s="1"/>
  <c r="G54" i="11"/>
  <c r="J54" i="11" s="1"/>
  <c r="G53" i="11"/>
  <c r="J53" i="11" s="1"/>
  <c r="G52" i="11"/>
  <c r="G50" i="11"/>
  <c r="M50" i="11" s="1"/>
  <c r="N50" i="11" s="1"/>
  <c r="G49" i="11"/>
  <c r="M49" i="11" s="1"/>
  <c r="G48" i="11"/>
  <c r="J48" i="11" s="1"/>
  <c r="G47" i="11"/>
  <c r="M47" i="11" s="1"/>
  <c r="G46" i="11"/>
  <c r="M46" i="11" s="1"/>
  <c r="G45" i="11"/>
  <c r="J45" i="11" s="1"/>
  <c r="G44" i="11"/>
  <c r="G42" i="11"/>
  <c r="J42" i="11" s="1"/>
  <c r="G41" i="11"/>
  <c r="G39" i="11"/>
  <c r="M39" i="11" s="1"/>
  <c r="G38" i="11"/>
  <c r="M38" i="11" s="1"/>
  <c r="N38" i="11" s="1"/>
  <c r="G37" i="11"/>
  <c r="M37" i="11" s="1"/>
  <c r="N37" i="11" s="1"/>
  <c r="G36" i="11"/>
  <c r="J36" i="11" s="1"/>
  <c r="G35" i="11"/>
  <c r="J35" i="11" s="1"/>
  <c r="G34" i="11"/>
  <c r="G32" i="11"/>
  <c r="M32" i="11" s="1"/>
  <c r="G31" i="11"/>
  <c r="M31" i="11" s="1"/>
  <c r="G30" i="11"/>
  <c r="J30" i="11" s="1"/>
  <c r="G29" i="11"/>
  <c r="G27" i="11"/>
  <c r="M27" i="11" s="1"/>
  <c r="G26" i="11"/>
  <c r="M26" i="11" s="1"/>
  <c r="N26" i="11" s="1"/>
  <c r="G25" i="11"/>
  <c r="M25" i="11" s="1"/>
  <c r="N25" i="11" s="1"/>
  <c r="G24" i="11"/>
  <c r="G22" i="11"/>
  <c r="J22" i="11" s="1"/>
  <c r="G21" i="11"/>
  <c r="G19" i="11"/>
  <c r="M19" i="11" s="1"/>
  <c r="G18" i="11"/>
  <c r="G16" i="11"/>
  <c r="M16" i="11" s="1"/>
  <c r="G15" i="11"/>
  <c r="J15" i="11" s="1"/>
  <c r="G14" i="11"/>
  <c r="G12" i="11"/>
  <c r="M12" i="11" s="1"/>
  <c r="N12" i="11" s="1"/>
  <c r="G9" i="11"/>
  <c r="M9" i="11" s="1"/>
  <c r="N9" i="11" s="1"/>
  <c r="G8" i="11"/>
  <c r="N65" i="11" l="1"/>
  <c r="J19" i="11"/>
  <c r="J49" i="11"/>
  <c r="M77" i="11"/>
  <c r="M30" i="11"/>
  <c r="M36" i="11"/>
  <c r="N36" i="11" s="1"/>
  <c r="O36" i="11" s="1"/>
  <c r="M45" i="11"/>
  <c r="J59" i="11"/>
  <c r="J63" i="11"/>
  <c r="J75" i="11"/>
  <c r="J47" i="11"/>
  <c r="J31" i="11"/>
  <c r="J46" i="11"/>
  <c r="J50" i="11"/>
  <c r="O50" i="11" s="1"/>
  <c r="J12" i="11"/>
  <c r="O12" i="11" s="1"/>
  <c r="J25" i="11"/>
  <c r="O25" i="11" s="1"/>
  <c r="J60" i="11"/>
  <c r="J73" i="11"/>
  <c r="J61" i="11"/>
  <c r="N27" i="11"/>
  <c r="M62" i="11"/>
  <c r="N62" i="11" s="1"/>
  <c r="O62" i="11" s="1"/>
  <c r="J62" i="11"/>
  <c r="M15" i="11"/>
  <c r="N15" i="11" s="1"/>
  <c r="O15" i="11" s="1"/>
  <c r="M64" i="11"/>
  <c r="N64" i="11" s="1"/>
  <c r="O64" i="11" s="1"/>
  <c r="M76" i="11"/>
  <c r="M35" i="11"/>
  <c r="J16" i="11"/>
  <c r="J65" i="11"/>
  <c r="N45" i="11"/>
  <c r="O45" i="11" s="1"/>
  <c r="N63" i="11"/>
  <c r="O63" i="11" s="1"/>
  <c r="N61" i="11"/>
  <c r="N71" i="11"/>
  <c r="N72" i="11"/>
  <c r="N16" i="11"/>
  <c r="O16" i="11" s="1"/>
  <c r="N48" i="11"/>
  <c r="O48" i="11" s="1"/>
  <c r="N55" i="11"/>
  <c r="N74" i="11"/>
  <c r="O74" i="11" s="1"/>
  <c r="N47" i="11"/>
  <c r="N32" i="11"/>
  <c r="N30" i="11"/>
  <c r="O30" i="11" s="1"/>
  <c r="N76" i="11"/>
  <c r="O76" i="11" s="1"/>
  <c r="N56" i="11"/>
  <c r="N49" i="11"/>
  <c r="O49" i="11" s="1"/>
  <c r="N46" i="11"/>
  <c r="O46" i="11" s="1"/>
  <c r="M53" i="11"/>
  <c r="N53" i="11" s="1"/>
  <c r="O53" i="11" s="1"/>
  <c r="J37" i="11"/>
  <c r="O37" i="11" s="1"/>
  <c r="N59" i="11"/>
  <c r="N77" i="11"/>
  <c r="O77" i="11" s="1"/>
  <c r="J26" i="11"/>
  <c r="O26" i="11" s="1"/>
  <c r="J32" i="11"/>
  <c r="M70" i="11"/>
  <c r="N70" i="11" s="1"/>
  <c r="O70" i="11" s="1"/>
  <c r="J9" i="11"/>
  <c r="O9" i="11" s="1"/>
  <c r="M54" i="11"/>
  <c r="N54" i="11" s="1"/>
  <c r="O54" i="11" s="1"/>
  <c r="N60" i="11"/>
  <c r="O60" i="11" s="1"/>
  <c r="J71" i="11"/>
  <c r="O71" i="11" s="1"/>
  <c r="J38" i="11"/>
  <c r="O38" i="11" s="1"/>
  <c r="J55" i="11"/>
  <c r="O61" i="11"/>
  <c r="M22" i="11"/>
  <c r="N22" i="11" s="1"/>
  <c r="O22" i="11" s="1"/>
  <c r="J27" i="11"/>
  <c r="O27" i="11" s="1"/>
  <c r="J72" i="11"/>
  <c r="O72" i="11" s="1"/>
  <c r="N35" i="11"/>
  <c r="O35" i="11" s="1"/>
  <c r="N39" i="11"/>
  <c r="M66" i="11"/>
  <c r="N66" i="11" s="1"/>
  <c r="O66" i="11" s="1"/>
  <c r="N31" i="11"/>
  <c r="O31" i="11" s="1"/>
  <c r="N19" i="11"/>
  <c r="O19" i="11" s="1"/>
  <c r="J39" i="11"/>
  <c r="J56" i="11"/>
  <c r="N75" i="11"/>
  <c r="O75" i="11" s="1"/>
  <c r="N42" i="11"/>
  <c r="O42" i="11" s="1"/>
  <c r="N73" i="11"/>
  <c r="O73" i="11" s="1"/>
  <c r="A6" i="11"/>
  <c r="O59" i="11" l="1"/>
  <c r="O56" i="11"/>
  <c r="O55" i="11"/>
  <c r="O47" i="11"/>
  <c r="O65" i="11"/>
  <c r="O32" i="11"/>
  <c r="O39" i="11"/>
  <c r="M80" i="11"/>
  <c r="P5" i="11" l="1"/>
  <c r="P81" i="11" s="1"/>
  <c r="A5" i="11"/>
  <c r="A8" i="11" l="1"/>
  <c r="A9" i="11" s="1"/>
  <c r="A12" i="11" s="1"/>
  <c r="A14" i="11" s="1"/>
  <c r="A79" i="11"/>
  <c r="A15" i="11" l="1"/>
  <c r="A16" i="11" s="1"/>
  <c r="A18" i="11" l="1"/>
  <c r="A19" i="11" s="1"/>
  <c r="A21" i="11" l="1"/>
  <c r="A22" i="11" s="1"/>
  <c r="A24" i="11" s="1"/>
  <c r="A25" i="11" s="1"/>
  <c r="A26" i="11" s="1"/>
  <c r="A27" i="11" s="1"/>
  <c r="A29" i="11" s="1"/>
  <c r="A30" i="11" s="1"/>
  <c r="A31" i="11" s="1"/>
  <c r="A32" i="11" s="1"/>
  <c r="A34" i="11" s="1"/>
  <c r="A35" i="11" s="1"/>
  <c r="A36" i="11" s="1"/>
  <c r="A37" i="11" s="1"/>
  <c r="A38" i="11" s="1"/>
  <c r="A39" i="11" s="1"/>
  <c r="A41" i="11" s="1"/>
  <c r="A42" i="11" s="1"/>
  <c r="A44" i="11" s="1"/>
  <c r="A45" i="11" s="1"/>
  <c r="A46" i="11" s="1"/>
  <c r="A47" i="11" s="1"/>
  <c r="A48" i="11" s="1"/>
  <c r="A49" i="11" s="1"/>
  <c r="A50" i="11" s="1"/>
  <c r="A52" i="11" s="1"/>
  <c r="A53" i="11" s="1"/>
  <c r="A54" i="11" s="1"/>
  <c r="A55" i="11" s="1"/>
  <c r="A56" i="11" s="1"/>
  <c r="A59" i="11" s="1"/>
  <c r="A60" i="11" s="1"/>
  <c r="A61" i="11" s="1"/>
  <c r="A62" i="11" s="1"/>
  <c r="A63" i="11" s="1"/>
  <c r="A64" i="11" s="1"/>
  <c r="A65" i="11" s="1"/>
  <c r="A66" i="11" s="1"/>
  <c r="A70" i="11" s="1"/>
  <c r="A71" i="11" s="1"/>
  <c r="A72" i="11" s="1"/>
  <c r="A73" i="11" s="1"/>
  <c r="A74" i="11" s="1"/>
  <c r="A75" i="11" s="1"/>
  <c r="A76" i="11" s="1"/>
  <c r="A77" i="11" s="1"/>
  <c r="P83" i="11"/>
  <c r="P82" i="11"/>
  <c r="P84" i="11" l="1"/>
  <c r="P2" i="11" s="1"/>
</calcChain>
</file>

<file path=xl/sharedStrings.xml><?xml version="1.0" encoding="utf-8"?>
<sst xmlns="http://schemas.openxmlformats.org/spreadsheetml/2006/main" count="152" uniqueCount="100">
  <si>
    <t>Summary</t>
  </si>
  <si>
    <t>Amount</t>
  </si>
  <si>
    <t>TOTAL ITEM COST</t>
  </si>
  <si>
    <t>Date:</t>
  </si>
  <si>
    <t>Project:</t>
  </si>
  <si>
    <t>Project Location:</t>
  </si>
  <si>
    <t>UOM</t>
  </si>
  <si>
    <t>Total Labor Cost</t>
  </si>
  <si>
    <t>Unit Material Cost</t>
  </si>
  <si>
    <t>Total Material Cost</t>
  </si>
  <si>
    <t>TOTAL TRADE COST</t>
  </si>
  <si>
    <t>Description</t>
  </si>
  <si>
    <t>Quantity</t>
  </si>
  <si>
    <t>Wastage</t>
  </si>
  <si>
    <t>Qty. With Wastage</t>
  </si>
  <si>
    <t>Unit Labor Hrs.</t>
  </si>
  <si>
    <t>Cost/Hr</t>
  </si>
  <si>
    <t>Manhours</t>
  </si>
  <si>
    <t>Labor/Hour</t>
  </si>
  <si>
    <t>Sr#</t>
  </si>
  <si>
    <t>Total Labor Hrs.</t>
  </si>
  <si>
    <t xml:space="preserve">Trades Total </t>
  </si>
  <si>
    <t>Material Tax</t>
  </si>
  <si>
    <t>OH&amp;P</t>
  </si>
  <si>
    <t>TOTALS</t>
  </si>
  <si>
    <t>TOTAL COST</t>
  </si>
  <si>
    <t>Drawing Ref.</t>
  </si>
  <si>
    <t>SF</t>
  </si>
  <si>
    <t>Notes for Clients</t>
  </si>
  <si>
    <t>THIS EXCEL STATEMENT IS EDITABLE AND CAN BE MODIFIED AS REQUIRED.</t>
  </si>
  <si>
    <t>CHANGE IN PERCENTAGES WILL CHANGE THE AMOUNT REFLECTING OF RESPECTIVE HEAD.</t>
  </si>
  <si>
    <t>PRICES OF LABOR AND MATERIALS ARE TAKEN FROM ONLINE MARKET RESOURCES AND CAN DIFFER FROM LOCAL VENDOR/SUPPLIER, RESPECTED CLIENTS ARE ADVISED TO DOUBLE CHECK TO MAKE SURE THE BID IS COMPETITIVE.</t>
  </si>
  <si>
    <t>SEPARATE PERMIT SHALL BE REQUIRED FOR SIGNS, FENCES, MOUNTED YARD LIGHTING FOUNDATIONS, HVAC UNITS, AND PLANTERS AS PER THE CITY NOTES.</t>
  </si>
  <si>
    <t>GENERAL REQUIREMENTS AND TEMPORARY SERVICES FEE AND TAX COST NEEDS TO BE ADDED.</t>
  </si>
  <si>
    <t>INSURANCE PERCENTAGES NEEDS TO BE ADDED.</t>
  </si>
  <si>
    <t>STOREFRONT AND GLAZING</t>
  </si>
  <si>
    <t>EA</t>
  </si>
  <si>
    <t>DOORS AND FRAMES</t>
  </si>
  <si>
    <t>Div. Sub Code</t>
  </si>
  <si>
    <t>DIV.08 OPENINGS</t>
  </si>
  <si>
    <t>A201, A600, A602</t>
  </si>
  <si>
    <t>Storefront Type: S1</t>
  </si>
  <si>
    <t>Tag: S1, Storefront, Size: 2'-4" X 4'-0", Finish: Dark Bronze, Gl-1, Insulated Glazing, Manufacturer: Kawneer, Finish: Clear</t>
  </si>
  <si>
    <t>Storefront Type: S2</t>
  </si>
  <si>
    <t>Tag: S2, Storefront, Size: 2'-4" X 4'-0", Finish: Dark Bronze, Gl-1, Insulated Glazing, Manufacturer: Kawneer, Finish: Clear</t>
  </si>
  <si>
    <t>Storefront Type: S3</t>
  </si>
  <si>
    <t>Tag: S3, Storefront, Size: 6'-0" X 7'-4", Finish: Dark Bronze, Gl-1, Insulated Glazing, Manufacturer: Kawneer, Finish: Clear</t>
  </si>
  <si>
    <t>Panel Size: 1'-6" X 3'-10"</t>
  </si>
  <si>
    <t>Storefront Type: S4</t>
  </si>
  <si>
    <t xml:space="preserve">Tag: S4, Truss Infill Storefront, Size: (2) 4'-3" X (2) 8'-7", Finish: Dark Bronze, Gl-2 Insulated Glazing, Manufacturer: Kawneer, Finish: Spandrel </t>
  </si>
  <si>
    <t>Storefront Type: S5</t>
  </si>
  <si>
    <t xml:space="preserve">Tag: S5, Truss Infill Storefront, Size: (2) 4'-3" X (2) 8'-7", Finish: Dark Bronze, Gl-2 Insulated Glazing, Manufacturer: Kawneer, Finish: Spandrel </t>
  </si>
  <si>
    <t>Storefront Type: S6</t>
  </si>
  <si>
    <t>Tag: S6, Storefront, Size: 12'-8" X 13'-4", Finish: Dark Bronze, Gl-1, Insulated Glazing, Manufacturer: Kawneer, Finish: Clear</t>
  </si>
  <si>
    <t>Panel Size: 3'-2 1/2" X 10'-0"</t>
  </si>
  <si>
    <t>Panel Size: 3'-2 1/2" X 3'-4"</t>
  </si>
  <si>
    <t>Storefront Type: S8</t>
  </si>
  <si>
    <t>Tag: S8, Storefront, Size: 7'-8" X 13'-4", Finish: Dark Bronze, Gl-1, Insulated Glazing, Manufacturer: Kawneer, Finish: Clear</t>
  </si>
  <si>
    <t>Panel Size: 3'-10" X 10'-0"</t>
  </si>
  <si>
    <t>Panel Size: 3'-10" X 3'-4"</t>
  </si>
  <si>
    <t>Storefront Type: S9</t>
  </si>
  <si>
    <t>Tag: S9, Storefront, Size: 12'-8" X 13'-4", Finish: Dark Bronze, Gl-1, Insulated Glazing, Manufacturer: Kawneer, Finish: Clear</t>
  </si>
  <si>
    <t>Panel Size: 4'-10" X 10'-0"</t>
  </si>
  <si>
    <t>Panel Size: 4'-10" X 3'-4"</t>
  </si>
  <si>
    <t>Panel Size: 3'-0" X 2'-10"</t>
  </si>
  <si>
    <t>Panel Size: 3'-0" X 3'-4"</t>
  </si>
  <si>
    <t>Storefront Type: S10</t>
  </si>
  <si>
    <t>Tag: S10, Truss Infill Storefront, Size: (2) 4'-6" X 18'-10", Finish: Dark Bronze, Gl-2, Insulated Glazing, Manufacturer: Kawneer, Finish: Clear</t>
  </si>
  <si>
    <t>Storefront Type: S11</t>
  </si>
  <si>
    <t>Tag: S11, Storefront, Size: 7'-8" X 13'-4", Finish: Dark Bronze, Gl-1, Insulated Glazing, Manufacturer: Kawneer, Finish: Clear</t>
  </si>
  <si>
    <t>Panel Size: 3'-2" X 3'-0"</t>
  </si>
  <si>
    <t>Panel Size: 3'-2" X 3'-4"</t>
  </si>
  <si>
    <t>Panel Size: 4'-8" X 3'-4"</t>
  </si>
  <si>
    <t>Panel Size: 4'-8" X 3'-0"</t>
  </si>
  <si>
    <t>Panel Size: 4'-8" X 7'-0"</t>
  </si>
  <si>
    <t>Storefront Type: S13</t>
  </si>
  <si>
    <t>Tag: S13, Storefront, Size: 18'-0" X 14'-4", Finish: Dark Bronze, Gl-1, Insulated Glazing, Manufacturer: Kawneer, Finish: Clear</t>
  </si>
  <si>
    <t>Panel Size: 2'-8" X 10'-0"</t>
  </si>
  <si>
    <t>Panel Size: 2'-8" X 4'-0"</t>
  </si>
  <si>
    <t>Transom Panel Size: 2'-0" X 12'-0"</t>
  </si>
  <si>
    <t>Door Tag: 102A, Overhead Sectional Glass Door, Size: 12'-4" X 12'-0" X 1 3/4", Type: Overhead Door Glazed Sectional, Material: Aluminum, Frame Material: Aluminum</t>
  </si>
  <si>
    <t>Door Tag: 102B, Overhead Sectional Glass Door, Size: 12'-4" X 12'-8" X 1 3/4", Type: Overhead Door Glazed Sectional, Material: Aluminum, Frame Material: Aluminum</t>
  </si>
  <si>
    <t>Door Tag: 102C, Overhead Sectional Glass Door, Size: 12'-4" X 12'-0" X 1 3/4", Type: Overhead Door Glazed Sectional, Material: Aluminum, Frame Material: Aluminum</t>
  </si>
  <si>
    <t>Door Tag: 102D, Overhead Sectional Glass Door, Size: 12'-4" X 12'-8" X 1 3/4", Type: Overhead Door Glazed Sectional, Material: Aluminum, Frame Material: Aluminum</t>
  </si>
  <si>
    <t>Door Tag: S101, Clear Anodized Storefront (Push Pads &amp; Operator), Size: 3'-0" X 7'-2" X 1 3/4", Type: Full Glass, Material: Aluminum, Frame Material: Aluminum, Hardware Set: 1</t>
  </si>
  <si>
    <t>Door Tag: S101B, Clear Anodized Storefront (Push Pads &amp; Operator), Size: 3'-0" X 7'-2" X 1 3/4", Type: Full Glass, Material: Aluminum, Frame Material: Aluminum, Hardware Set: 1</t>
  </si>
  <si>
    <t>Door Tag: S102, Clear Anodized Storefront (Push Pads &amp; Operator), Size: 3'-0" X 7'-2" X 1 3/4", Type: Full Glass, Material: Aluminum, Frame Material: Aluminum, Hardware Set: 1</t>
  </si>
  <si>
    <t>Door Tag: S103, Clear Anodized Storefront (Push Pads &amp; Operator), Size: 3'-0" X 7'-2" X 1 3/4", Type: Full Glass, Material: Aluminum, Frame Material: Aluminum, Hardware Set: 1</t>
  </si>
  <si>
    <t>HARDWARES</t>
  </si>
  <si>
    <t>Hardware Set #1 (Single Storefront Lock, Push/Pull Function)</t>
  </si>
  <si>
    <t>4 EA</t>
  </si>
  <si>
    <t>Cast Aluminum Hinges, Manufacturer: Cal-Royal, Finish: Us26D, Item: Bb31Xus26, Tbh31Xus26</t>
  </si>
  <si>
    <t>Push/Pull Bar Set, Manufacturer: Don-Jo, Finish: Us26D, Item: 7114</t>
  </si>
  <si>
    <t>Adjustable Grade 1 Surface-Mounted Closer, , Manufacturer: Lcn, Finish: Us26D, Item: 1460/1441</t>
  </si>
  <si>
    <t>Silencer</t>
  </si>
  <si>
    <t>Lock Cylinder</t>
  </si>
  <si>
    <t>Door Sweep, Manufacturer: Pemko, Finish: Alum, Item: 315Cn</t>
  </si>
  <si>
    <t>Weatherstripping</t>
  </si>
  <si>
    <t>Threshold, Manufacturer: Pemko, Finish: Alum, Item: 270A Or 170A</t>
  </si>
  <si>
    <t>Tidal Wave Auto Spa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</si>
</sst>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"/>
    <numFmt numFmtId="169" formatCode="_(&quot;$&quot;* #,##0_);_(&quot;$&quot;* \(#,##0\);_(&quot;$&quot;* &quot;-&quot;?_);_(@_)"/>
    <numFmt numFmtId="170" formatCode="_(&quot;$&quot;* #,##0.0_);_(&quot;$&quot;* \(#,##0.0\);_(&quot;$&quot;* &quot;-&quot;??_);_(@_)"/>
    <numFmt numFmtId="171" formatCode="_-[$$-409]* #,##0.00_ ;_-[$$-409]* \-#,##0.00\ ;_-[$$-409]* &quot;-&quot;??_ ;_-@_ "/>
    <numFmt numFmtId="172" formatCode="0.0"/>
    <numFmt numFmtId="173" formatCode="0.0%"/>
    <numFmt numFmtId="174" formatCode="_(&quot;$&quot;* #,##0_);_(&quot;$&quot;* \(#,##0\);_(&quot;$&quot;* &quot;-&quot;??_);_(@_)"/>
  </numFmts>
  <fonts count="64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u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u/>
      <sz val="12"/>
      <color theme="0" tint="-0.34998626667073579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b/>
      <sz val="14"/>
      <color indexed="63"/>
      <name val="Calibri"/>
      <family val="2"/>
      <scheme val="minor"/>
    </font>
    <font>
      <sz val="14"/>
      <name val="Calibri"/>
      <family val="2"/>
      <scheme val="minor"/>
    </font>
    <font>
      <sz val="14"/>
      <color theme="0" tint="-0.34998626667073579"/>
      <name val="Calibri"/>
      <family val="2"/>
      <scheme val="minor"/>
    </font>
    <font>
      <b/>
      <sz val="16"/>
      <color theme="1"/>
      <name val="Adobe Gothic Std B"/>
      <family val="2"/>
      <charset val="128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</borders>
  <cellStyleXfs count="104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11" fillId="0" borderId="0"/>
    <xf numFmtId="0" fontId="11" fillId="23" borderId="7" applyNumberFormat="0" applyFont="0" applyAlignment="0" applyProtection="0"/>
    <xf numFmtId="0" fontId="25" fillId="20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10" fillId="0" borderId="0"/>
    <xf numFmtId="0" fontId="29" fillId="0" borderId="0"/>
    <xf numFmtId="0" fontId="11" fillId="0" borderId="0"/>
    <xf numFmtId="167" fontId="29" fillId="0" borderId="0" applyFont="0" applyFill="0" applyBorder="0" applyAlignment="0" applyProtection="0"/>
    <xf numFmtId="0" fontId="30" fillId="0" borderId="0"/>
    <xf numFmtId="167" fontId="11" fillId="0" borderId="0" applyFont="0" applyFill="0" applyBorder="0" applyAlignment="0" applyProtection="0"/>
    <xf numFmtId="0" fontId="11" fillId="0" borderId="0"/>
    <xf numFmtId="166" fontId="30" fillId="0" borderId="0" applyFont="0" applyFill="0" applyBorder="0" applyAlignment="0" applyProtection="0"/>
    <xf numFmtId="0" fontId="9" fillId="0" borderId="0"/>
    <xf numFmtId="0" fontId="11" fillId="0" borderId="0"/>
    <xf numFmtId="0" fontId="9" fillId="0" borderId="0"/>
    <xf numFmtId="0" fontId="8" fillId="0" borderId="0"/>
    <xf numFmtId="0" fontId="7" fillId="0" borderId="0"/>
    <xf numFmtId="0" fontId="40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5" fillId="27" borderId="0" applyNumberFormat="0" applyBorder="0" applyAlignment="0" applyProtection="0"/>
    <xf numFmtId="0" fontId="46" fillId="28" borderId="0" applyNumberFormat="0" applyBorder="0" applyAlignment="0" applyProtection="0"/>
    <xf numFmtId="0" fontId="47" fillId="29" borderId="15" applyNumberFormat="0" applyAlignment="0" applyProtection="0"/>
    <xf numFmtId="0" fontId="48" fillId="30" borderId="16" applyNumberFormat="0" applyAlignment="0" applyProtection="0"/>
    <xf numFmtId="0" fontId="49" fillId="30" borderId="15" applyNumberFormat="0" applyAlignment="0" applyProtection="0"/>
    <xf numFmtId="0" fontId="50" fillId="0" borderId="17" applyNumberFormat="0" applyFill="0" applyAlignment="0" applyProtection="0"/>
    <xf numFmtId="0" fontId="51" fillId="31" borderId="18" applyNumberFormat="0" applyAlignment="0" applyProtection="0"/>
    <xf numFmtId="0" fontId="52" fillId="0" borderId="0" applyNumberFormat="0" applyFill="0" applyBorder="0" applyAlignment="0" applyProtection="0"/>
    <xf numFmtId="0" fontId="7" fillId="32" borderId="19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20" applyNumberFormat="0" applyFill="0" applyAlignment="0" applyProtection="0"/>
    <xf numFmtId="0" fontId="55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55" fillId="44" borderId="0" applyNumberFormat="0" applyBorder="0" applyAlignment="0" applyProtection="0"/>
    <xf numFmtId="0" fontId="55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55" fillId="48" borderId="0" applyNumberFormat="0" applyBorder="0" applyAlignment="0" applyProtection="0"/>
    <xf numFmtId="0" fontId="55" fillId="49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55" fillId="52" borderId="0" applyNumberFormat="0" applyBorder="0" applyAlignment="0" applyProtection="0"/>
    <xf numFmtId="0" fontId="55" fillId="53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55" fillId="56" borderId="0" applyNumberFormat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9" fontId="59" fillId="0" borderId="0" applyFont="0" applyFill="0" applyBorder="0" applyAlignment="0" applyProtection="0"/>
  </cellStyleXfs>
  <cellXfs count="124">
    <xf numFmtId="0" fontId="0" fillId="0" borderId="0" xfId="0"/>
    <xf numFmtId="0" fontId="31" fillId="0" borderId="0" xfId="0" applyFont="1" applyAlignment="1">
      <alignment vertical="top"/>
    </xf>
    <xf numFmtId="165" fontId="31" fillId="0" borderId="0" xfId="45" applyNumberFormat="1" applyFont="1" applyAlignment="1">
      <alignment vertical="center"/>
    </xf>
    <xf numFmtId="0" fontId="31" fillId="0" borderId="0" xfId="45" applyFont="1" applyAlignment="1">
      <alignment vertical="center"/>
    </xf>
    <xf numFmtId="0" fontId="34" fillId="0" borderId="0" xfId="0" applyFont="1" applyAlignment="1">
      <alignment vertical="center"/>
    </xf>
    <xf numFmtId="0" fontId="33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2" fontId="31" fillId="0" borderId="0" xfId="0" applyNumberFormat="1" applyFont="1" applyAlignment="1">
      <alignment vertical="center" wrapText="1"/>
    </xf>
    <xf numFmtId="2" fontId="31" fillId="0" borderId="0" xfId="0" applyNumberFormat="1" applyFont="1" applyAlignment="1">
      <alignment horizontal="center" vertical="center" wrapText="1"/>
    </xf>
    <xf numFmtId="168" fontId="31" fillId="0" borderId="0" xfId="0" applyNumberFormat="1" applyFont="1" applyAlignment="1">
      <alignment vertical="center"/>
    </xf>
    <xf numFmtId="9" fontId="31" fillId="0" borderId="0" xfId="0" applyNumberFormat="1" applyFont="1" applyAlignment="1">
      <alignment vertical="center"/>
    </xf>
    <xf numFmtId="170" fontId="31" fillId="0" borderId="0" xfId="0" applyNumberFormat="1" applyFont="1" applyAlignment="1">
      <alignment vertical="center"/>
    </xf>
    <xf numFmtId="0" fontId="36" fillId="0" borderId="0" xfId="0" applyFont="1" applyAlignment="1">
      <alignment vertical="top"/>
    </xf>
    <xf numFmtId="0" fontId="37" fillId="0" borderId="0" xfId="0" applyFont="1" applyAlignment="1">
      <alignment vertical="center"/>
    </xf>
    <xf numFmtId="0" fontId="36" fillId="0" borderId="0" xfId="45" applyFont="1" applyAlignment="1">
      <alignment vertical="center"/>
    </xf>
    <xf numFmtId="1" fontId="32" fillId="0" borderId="0" xfId="0" applyNumberFormat="1" applyFont="1" applyAlignment="1">
      <alignment horizontal="right" vertical="center"/>
    </xf>
    <xf numFmtId="9" fontId="32" fillId="0" borderId="0" xfId="0" applyNumberFormat="1" applyFont="1" applyAlignment="1">
      <alignment vertical="center"/>
    </xf>
    <xf numFmtId="0" fontId="32" fillId="0" borderId="0" xfId="0" applyFont="1" applyAlignment="1">
      <alignment horizontal="center" vertical="center"/>
    </xf>
    <xf numFmtId="170" fontId="31" fillId="0" borderId="0" xfId="0" applyNumberFormat="1" applyFont="1" applyAlignment="1">
      <alignment vertical="center" wrapText="1"/>
    </xf>
    <xf numFmtId="171" fontId="31" fillId="0" borderId="0" xfId="45" applyNumberFormat="1" applyFont="1" applyAlignment="1">
      <alignment vertical="center"/>
    </xf>
    <xf numFmtId="1" fontId="31" fillId="0" borderId="0" xfId="0" applyNumberFormat="1" applyFont="1" applyAlignment="1">
      <alignment horizontal="center" vertical="center" wrapText="1"/>
    </xf>
    <xf numFmtId="165" fontId="32" fillId="0" borderId="0" xfId="0" applyNumberFormat="1" applyFont="1" applyAlignment="1">
      <alignment horizontal="center" vertical="center"/>
    </xf>
    <xf numFmtId="165" fontId="31" fillId="0" borderId="0" xfId="0" applyNumberFormat="1" applyFont="1" applyAlignment="1">
      <alignment horizontal="center" vertical="center"/>
    </xf>
    <xf numFmtId="1" fontId="56" fillId="0" borderId="0" xfId="100" applyNumberFormat="1" applyFont="1" applyAlignment="1">
      <alignment horizontal="right" vertical="center"/>
    </xf>
    <xf numFmtId="0" fontId="56" fillId="0" borderId="0" xfId="102" applyFont="1" applyAlignment="1">
      <alignment horizontal="center" vertical="center"/>
    </xf>
    <xf numFmtId="0" fontId="56" fillId="0" borderId="0" xfId="97" applyFont="1" applyAlignment="1">
      <alignment horizontal="center" vertical="center"/>
    </xf>
    <xf numFmtId="1" fontId="56" fillId="0" borderId="0" xfId="98" applyNumberFormat="1" applyFont="1" applyAlignment="1">
      <alignment horizontal="right" vertical="center"/>
    </xf>
    <xf numFmtId="0" fontId="56" fillId="0" borderId="0" xfId="102" applyFont="1" applyAlignment="1">
      <alignment wrapText="1"/>
    </xf>
    <xf numFmtId="0" fontId="39" fillId="0" borderId="22" xfId="41" applyFont="1" applyFill="1" applyBorder="1" applyAlignment="1">
      <alignment vertical="top" wrapText="1"/>
    </xf>
    <xf numFmtId="169" fontId="32" fillId="25" borderId="23" xfId="38" applyNumberFormat="1" applyFont="1" applyFill="1" applyBorder="1" applyAlignment="1" applyProtection="1">
      <alignment horizontal="left" vertical="center"/>
    </xf>
    <xf numFmtId="0" fontId="31" fillId="0" borderId="21" xfId="45" applyFont="1" applyBorder="1" applyAlignment="1">
      <alignment vertical="center"/>
    </xf>
    <xf numFmtId="2" fontId="31" fillId="0" borderId="0" xfId="45" applyNumberFormat="1" applyFont="1" applyAlignment="1">
      <alignment horizontal="center" vertical="center"/>
    </xf>
    <xf numFmtId="172" fontId="31" fillId="0" borderId="0" xfId="45" applyNumberFormat="1" applyFont="1" applyAlignment="1">
      <alignment horizontal="center" vertical="center"/>
    </xf>
    <xf numFmtId="0" fontId="31" fillId="0" borderId="21" xfId="45" applyFont="1" applyBorder="1" applyAlignment="1">
      <alignment horizontal="center" vertical="center"/>
    </xf>
    <xf numFmtId="0" fontId="39" fillId="0" borderId="24" xfId="41" applyFont="1" applyFill="1" applyBorder="1" applyAlignment="1">
      <alignment horizontal="center" vertical="center"/>
    </xf>
    <xf numFmtId="1" fontId="56" fillId="0" borderId="0" xfId="100" applyNumberFormat="1" applyFont="1" applyAlignment="1">
      <alignment horizontal="right" vertical="center" wrapText="1"/>
    </xf>
    <xf numFmtId="9" fontId="31" fillId="0" borderId="0" xfId="0" applyNumberFormat="1" applyFont="1" applyAlignment="1">
      <alignment vertical="center" wrapText="1"/>
    </xf>
    <xf numFmtId="165" fontId="31" fillId="0" borderId="0" xfId="0" applyNumberFormat="1" applyFont="1" applyAlignment="1">
      <alignment horizontal="center" vertical="center" wrapText="1"/>
    </xf>
    <xf numFmtId="0" fontId="56" fillId="0" borderId="0" xfId="102" applyFont="1" applyAlignment="1">
      <alignment horizontal="center" vertical="center" wrapText="1"/>
    </xf>
    <xf numFmtId="165" fontId="31" fillId="0" borderId="0" xfId="45" applyNumberFormat="1" applyFont="1" applyAlignment="1">
      <alignment vertical="center" wrapText="1"/>
    </xf>
    <xf numFmtId="0" fontId="31" fillId="0" borderId="0" xfId="45" applyFont="1" applyAlignment="1">
      <alignment vertical="center" wrapText="1"/>
    </xf>
    <xf numFmtId="0" fontId="36" fillId="0" borderId="0" xfId="45" applyFont="1" applyAlignment="1">
      <alignment vertical="center" wrapText="1"/>
    </xf>
    <xf numFmtId="1" fontId="39" fillId="0" borderId="28" xfId="41" applyNumberFormat="1" applyFont="1" applyFill="1" applyBorder="1" applyAlignment="1" applyProtection="1">
      <alignment horizontal="center" vertical="center"/>
    </xf>
    <xf numFmtId="168" fontId="39" fillId="0" borderId="28" xfId="41" applyNumberFormat="1" applyFont="1" applyFill="1" applyBorder="1" applyAlignment="1" applyProtection="1">
      <alignment horizontal="center" vertical="center"/>
    </xf>
    <xf numFmtId="0" fontId="39" fillId="0" borderId="28" xfId="41" applyFont="1" applyFill="1" applyBorder="1" applyAlignment="1">
      <alignment horizontal="center" vertical="center"/>
    </xf>
    <xf numFmtId="170" fontId="39" fillId="0" borderId="28" xfId="41" applyNumberFormat="1" applyFont="1" applyFill="1" applyBorder="1" applyAlignment="1">
      <alignment vertical="center"/>
    </xf>
    <xf numFmtId="173" fontId="39" fillId="0" borderId="28" xfId="103" applyNumberFormat="1" applyFont="1" applyFill="1" applyBorder="1" applyAlignment="1">
      <alignment horizontal="center" vertical="center"/>
    </xf>
    <xf numFmtId="174" fontId="39" fillId="0" borderId="28" xfId="41" applyNumberFormat="1" applyFont="1" applyFill="1" applyBorder="1" applyAlignment="1">
      <alignment horizontal="left" vertical="center"/>
    </xf>
    <xf numFmtId="9" fontId="39" fillId="0" borderId="28" xfId="103" applyFont="1" applyFill="1" applyBorder="1" applyAlignment="1">
      <alignment horizontal="center" vertical="center"/>
    </xf>
    <xf numFmtId="1" fontId="39" fillId="0" borderId="30" xfId="41" applyNumberFormat="1" applyFont="1" applyFill="1" applyBorder="1" applyAlignment="1" applyProtection="1">
      <alignment horizontal="center" vertical="center"/>
    </xf>
    <xf numFmtId="168" fontId="39" fillId="0" borderId="30" xfId="41" applyNumberFormat="1" applyFont="1" applyFill="1" applyBorder="1" applyAlignment="1" applyProtection="1">
      <alignment horizontal="center" vertical="center"/>
    </xf>
    <xf numFmtId="0" fontId="39" fillId="0" borderId="30" xfId="41" applyFont="1" applyFill="1" applyBorder="1" applyAlignment="1">
      <alignment horizontal="center" vertical="center"/>
    </xf>
    <xf numFmtId="170" fontId="39" fillId="0" borderId="30" xfId="41" applyNumberFormat="1" applyFont="1" applyFill="1" applyBorder="1" applyAlignment="1">
      <alignment vertical="center"/>
    </xf>
    <xf numFmtId="169" fontId="39" fillId="0" borderId="30" xfId="41" applyNumberFormat="1" applyFont="1" applyFill="1" applyBorder="1" applyAlignment="1">
      <alignment horizontal="left" vertical="center"/>
    </xf>
    <xf numFmtId="170" fontId="31" fillId="0" borderId="31" xfId="0" applyNumberFormat="1" applyFont="1" applyBorder="1" applyAlignment="1">
      <alignment vertical="center"/>
    </xf>
    <xf numFmtId="164" fontId="39" fillId="0" borderId="28" xfId="41" applyNumberFormat="1" applyFont="1" applyFill="1" applyBorder="1" applyAlignment="1">
      <alignment vertical="center"/>
    </xf>
    <xf numFmtId="164" fontId="39" fillId="0" borderId="33" xfId="41" applyNumberFormat="1" applyFont="1" applyFill="1" applyBorder="1" applyAlignment="1">
      <alignment vertical="center"/>
    </xf>
    <xf numFmtId="174" fontId="39" fillId="0" borderId="33" xfId="41" applyNumberFormat="1" applyFont="1" applyFill="1" applyBorder="1" applyAlignment="1">
      <alignment vertical="center"/>
    </xf>
    <xf numFmtId="164" fontId="39" fillId="0" borderId="32" xfId="41" applyNumberFormat="1" applyFont="1" applyFill="1" applyBorder="1" applyAlignment="1">
      <alignment vertical="center"/>
    </xf>
    <xf numFmtId="0" fontId="39" fillId="0" borderId="35" xfId="41" applyFont="1" applyFill="1" applyBorder="1" applyAlignment="1">
      <alignment vertical="top" wrapText="1"/>
    </xf>
    <xf numFmtId="0" fontId="39" fillId="0" borderId="33" xfId="41" applyFont="1" applyFill="1" applyBorder="1" applyAlignment="1">
      <alignment vertical="top" wrapText="1"/>
    </xf>
    <xf numFmtId="0" fontId="39" fillId="0" borderId="32" xfId="41" applyFont="1" applyFill="1" applyBorder="1" applyAlignment="1">
      <alignment vertical="top" wrapText="1"/>
    </xf>
    <xf numFmtId="0" fontId="32" fillId="0" borderId="34" xfId="45" applyFont="1" applyBorder="1" applyAlignment="1">
      <alignment vertical="center"/>
    </xf>
    <xf numFmtId="0" fontId="32" fillId="0" borderId="0" xfId="0" applyFont="1" applyAlignment="1">
      <alignment horizontal="justify" vertical="center" wrapText="1"/>
    </xf>
    <xf numFmtId="0" fontId="56" fillId="0" borderId="0" xfId="98" applyFont="1" applyAlignment="1">
      <alignment wrapText="1"/>
    </xf>
    <xf numFmtId="0" fontId="39" fillId="0" borderId="28" xfId="41" applyFont="1" applyFill="1" applyBorder="1" applyAlignment="1">
      <alignment vertical="top" wrapText="1"/>
    </xf>
    <xf numFmtId="0" fontId="39" fillId="0" borderId="30" xfId="41" applyFont="1" applyFill="1" applyBorder="1" applyAlignment="1">
      <alignment vertical="top" wrapText="1"/>
    </xf>
    <xf numFmtId="2" fontId="31" fillId="0" borderId="0" xfId="0" applyNumberFormat="1" applyFont="1" applyAlignment="1">
      <alignment vertical="top" wrapText="1"/>
    </xf>
    <xf numFmtId="0" fontId="32" fillId="0" borderId="0" xfId="45" applyFont="1" applyAlignment="1">
      <alignment vertical="center"/>
    </xf>
    <xf numFmtId="0" fontId="32" fillId="0" borderId="0" xfId="45" applyFont="1" applyAlignment="1">
      <alignment horizontal="center" vertical="center"/>
    </xf>
    <xf numFmtId="1" fontId="35" fillId="24" borderId="10" xfId="34" applyNumberFormat="1" applyFont="1" applyFill="1" applyBorder="1" applyAlignment="1" applyProtection="1">
      <alignment horizontal="center" vertical="center" wrapText="1"/>
    </xf>
    <xf numFmtId="2" fontId="35" fillId="24" borderId="10" xfId="34" applyNumberFormat="1" applyFont="1" applyFill="1" applyBorder="1" applyAlignment="1" applyProtection="1">
      <alignment horizontal="center" vertical="center" wrapText="1"/>
    </xf>
    <xf numFmtId="0" fontId="35" fillId="24" borderId="10" xfId="34" applyFont="1" applyFill="1" applyBorder="1" applyAlignment="1" applyProtection="1">
      <alignment horizontal="center" vertical="center" wrapText="1"/>
    </xf>
    <xf numFmtId="170" fontId="35" fillId="24" borderId="10" xfId="34" applyNumberFormat="1" applyFont="1" applyFill="1" applyBorder="1" applyAlignment="1" applyProtection="1">
      <alignment horizontal="center" vertical="center" wrapText="1"/>
    </xf>
    <xf numFmtId="0" fontId="35" fillId="24" borderId="10" xfId="102" applyFont="1" applyFill="1" applyBorder="1" applyAlignment="1">
      <alignment wrapText="1"/>
    </xf>
    <xf numFmtId="0" fontId="57" fillId="0" borderId="26" xfId="0" applyFont="1" applyBorder="1" applyAlignment="1">
      <alignment horizontal="left" vertical="center"/>
    </xf>
    <xf numFmtId="0" fontId="57" fillId="0" borderId="36" xfId="0" applyFont="1" applyBorder="1" applyAlignment="1">
      <alignment horizontal="left" vertical="center"/>
    </xf>
    <xf numFmtId="0" fontId="32" fillId="0" borderId="31" xfId="45" applyFont="1" applyBorder="1" applyAlignment="1">
      <alignment horizontal="center" vertical="center" wrapText="1"/>
    </xf>
    <xf numFmtId="0" fontId="32" fillId="0" borderId="31" xfId="45" applyFont="1" applyBorder="1" applyAlignment="1">
      <alignment vertical="center" wrapText="1"/>
    </xf>
    <xf numFmtId="0" fontId="38" fillId="0" borderId="25" xfId="0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170" fontId="32" fillId="0" borderId="25" xfId="0" applyNumberFormat="1" applyFont="1" applyBorder="1" applyAlignment="1">
      <alignment vertical="center"/>
    </xf>
    <xf numFmtId="171" fontId="32" fillId="0" borderId="25" xfId="45" applyNumberFormat="1" applyFont="1" applyBorder="1" applyAlignment="1">
      <alignment vertical="center"/>
    </xf>
    <xf numFmtId="172" fontId="32" fillId="0" borderId="27" xfId="45" applyNumberFormat="1" applyFont="1" applyBorder="1" applyAlignment="1">
      <alignment horizontal="center" vertical="center"/>
    </xf>
    <xf numFmtId="0" fontId="31" fillId="0" borderId="37" xfId="0" applyFont="1" applyBorder="1" applyAlignment="1">
      <alignment vertical="top"/>
    </xf>
    <xf numFmtId="0" fontId="31" fillId="0" borderId="38" xfId="0" applyFont="1" applyBorder="1" applyAlignment="1">
      <alignment vertical="top"/>
    </xf>
    <xf numFmtId="2" fontId="31" fillId="0" borderId="38" xfId="0" applyNumberFormat="1" applyFont="1" applyBorder="1" applyAlignment="1">
      <alignment vertical="top" wrapText="1"/>
    </xf>
    <xf numFmtId="1" fontId="31" fillId="0" borderId="38" xfId="0" applyNumberFormat="1" applyFont="1" applyBorder="1" applyAlignment="1">
      <alignment horizontal="center" vertical="center" wrapText="1"/>
    </xf>
    <xf numFmtId="2" fontId="31" fillId="0" borderId="38" xfId="0" applyNumberFormat="1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/>
    </xf>
    <xf numFmtId="170" fontId="31" fillId="0" borderId="38" xfId="0" applyNumberFormat="1" applyFont="1" applyBorder="1" applyAlignment="1">
      <alignment vertical="center" wrapText="1"/>
    </xf>
    <xf numFmtId="2" fontId="31" fillId="0" borderId="38" xfId="0" applyNumberFormat="1" applyFont="1" applyBorder="1" applyAlignment="1">
      <alignment vertical="center" wrapText="1"/>
    </xf>
    <xf numFmtId="168" fontId="31" fillId="0" borderId="39" xfId="0" applyNumberFormat="1" applyFont="1" applyBorder="1" applyAlignment="1">
      <alignment vertical="center"/>
    </xf>
    <xf numFmtId="0" fontId="35" fillId="0" borderId="40" xfId="102" applyFont="1" applyBorder="1" applyAlignment="1">
      <alignment wrapText="1"/>
    </xf>
    <xf numFmtId="0" fontId="56" fillId="0" borderId="0" xfId="102" applyFont="1" applyAlignment="1">
      <alignment horizontal="right" wrapText="1"/>
    </xf>
    <xf numFmtId="0" fontId="60" fillId="20" borderId="25" xfId="39" applyFont="1" applyBorder="1" applyAlignment="1">
      <alignment vertical="top"/>
    </xf>
    <xf numFmtId="0" fontId="60" fillId="20" borderId="26" xfId="39" applyFont="1" applyBorder="1" applyAlignment="1">
      <alignment vertical="top"/>
    </xf>
    <xf numFmtId="0" fontId="60" fillId="20" borderId="11" xfId="39" applyFont="1" applyBorder="1" applyAlignment="1">
      <alignment vertical="top" wrapText="1"/>
    </xf>
    <xf numFmtId="1" fontId="60" fillId="20" borderId="26" xfId="39" applyNumberFormat="1" applyFont="1" applyBorder="1" applyAlignment="1">
      <alignment vertical="center"/>
    </xf>
    <xf numFmtId="0" fontId="60" fillId="20" borderId="26" xfId="39" applyFont="1" applyBorder="1" applyAlignment="1">
      <alignment vertical="center"/>
    </xf>
    <xf numFmtId="0" fontId="60" fillId="20" borderId="26" xfId="39" applyFont="1" applyBorder="1" applyAlignment="1">
      <alignment horizontal="center" vertical="center"/>
    </xf>
    <xf numFmtId="170" fontId="60" fillId="20" borderId="26" xfId="39" applyNumberFormat="1" applyFont="1" applyBorder="1" applyAlignment="1">
      <alignment vertical="center"/>
    </xf>
    <xf numFmtId="164" fontId="60" fillId="20" borderId="10" xfId="39" applyNumberFormat="1" applyFont="1" applyBorder="1" applyAlignment="1">
      <alignment vertical="center"/>
    </xf>
    <xf numFmtId="165" fontId="61" fillId="0" borderId="0" xfId="45" applyNumberFormat="1" applyFont="1" applyAlignment="1">
      <alignment vertical="center"/>
    </xf>
    <xf numFmtId="0" fontId="61" fillId="0" borderId="0" xfId="45" applyFont="1" applyAlignment="1">
      <alignment vertical="center"/>
    </xf>
    <xf numFmtId="0" fontId="62" fillId="0" borderId="0" xfId="45" applyFont="1" applyAlignment="1">
      <alignment vertical="center"/>
    </xf>
    <xf numFmtId="0" fontId="32" fillId="0" borderId="21" xfId="45" applyFont="1" applyBorder="1" applyAlignment="1">
      <alignment vertical="center" wrapText="1"/>
    </xf>
    <xf numFmtId="0" fontId="32" fillId="0" borderId="21" xfId="45" applyFont="1" applyBorder="1" applyAlignment="1">
      <alignment horizontal="center" vertical="center" wrapText="1"/>
    </xf>
    <xf numFmtId="164" fontId="58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7" fillId="0" borderId="25" xfId="0" applyFont="1" applyBorder="1" applyAlignment="1">
      <alignment horizontal="left" vertical="center"/>
    </xf>
    <xf numFmtId="0" fontId="57" fillId="0" borderId="26" xfId="0" applyFont="1" applyBorder="1" applyAlignment="1">
      <alignment horizontal="left" vertical="center"/>
    </xf>
    <xf numFmtId="0" fontId="57" fillId="0" borderId="29" xfId="0" applyFont="1" applyBorder="1" applyAlignment="1">
      <alignment horizontal="left" vertical="center"/>
    </xf>
    <xf numFmtId="0" fontId="57" fillId="0" borderId="36" xfId="0" applyFont="1" applyBorder="1" applyAlignment="1">
      <alignment horizontal="left" vertical="center"/>
    </xf>
    <xf numFmtId="0" fontId="57" fillId="0" borderId="25" xfId="0" applyFont="1" applyBorder="1" applyAlignment="1">
      <alignment horizontal="center" vertical="center"/>
    </xf>
    <xf numFmtId="0" fontId="57" fillId="0" borderId="26" xfId="0" applyFont="1" applyBorder="1" applyAlignment="1">
      <alignment horizontal="center" vertical="center"/>
    </xf>
    <xf numFmtId="0" fontId="57" fillId="0" borderId="27" xfId="0" applyFont="1" applyBorder="1" applyAlignment="1">
      <alignment horizontal="center" vertical="center"/>
    </xf>
    <xf numFmtId="14" fontId="57" fillId="0" borderId="25" xfId="0" applyNumberFormat="1" applyFont="1" applyBorder="1" applyAlignment="1">
      <alignment horizontal="center" vertical="center"/>
    </xf>
    <xf numFmtId="0" fontId="11" fillId="25" borderId="41" xfId="0" applyFont="1" applyFill="1" applyBorder="1" applyAlignment="1">
      <alignment horizontal="left" vertical="center"/>
    </xf>
    <xf numFmtId="0" fontId="11" fillId="25" borderId="26" xfId="0" applyFont="1" applyFill="1" applyBorder="1" applyAlignment="1">
      <alignment horizontal="left" vertical="center"/>
    </xf>
    <xf numFmtId="0" fontId="11" fillId="25" borderId="27" xfId="0" applyFont="1" applyFill="1" applyBorder="1" applyAlignment="1">
      <alignment horizontal="left" vertical="center"/>
    </xf>
    <xf numFmtId="0" fontId="63" fillId="24" borderId="41" xfId="0" applyFont="1" applyFill="1" applyBorder="1" applyAlignment="1">
      <alignment horizontal="left" vertical="center"/>
    </xf>
    <xf numFmtId="0" fontId="63" fillId="24" borderId="26" xfId="0" applyFont="1" applyFill="1" applyBorder="1" applyAlignment="1">
      <alignment horizontal="left" vertical="center"/>
    </xf>
    <xf numFmtId="0" fontId="63" fillId="24" borderId="27" xfId="0" applyFont="1" applyFill="1" applyBorder="1" applyAlignment="1">
      <alignment horizontal="left" vertical="center"/>
    </xf>
  </cellXfs>
  <cellStyles count="104">
    <cellStyle name="20% - Accent1" xfId="1" builtinId="30" customBuiltin="1"/>
    <cellStyle name="20% - Accent1 2" xfId="74" xr:uid="{00000000-0005-0000-0000-000001000000}"/>
    <cellStyle name="20% - Accent2" xfId="2" builtinId="34" customBuiltin="1"/>
    <cellStyle name="20% - Accent2 2" xfId="78" xr:uid="{00000000-0005-0000-0000-000003000000}"/>
    <cellStyle name="20% - Accent3" xfId="3" builtinId="38" customBuiltin="1"/>
    <cellStyle name="20% - Accent3 2" xfId="82" xr:uid="{00000000-0005-0000-0000-000005000000}"/>
    <cellStyle name="20% - Accent4" xfId="4" builtinId="42" customBuiltin="1"/>
    <cellStyle name="20% - Accent4 2" xfId="86" xr:uid="{00000000-0005-0000-0000-000007000000}"/>
    <cellStyle name="20% - Accent5" xfId="5" builtinId="46" customBuiltin="1"/>
    <cellStyle name="20% - Accent5 2" xfId="90" xr:uid="{00000000-0005-0000-0000-000009000000}"/>
    <cellStyle name="20% - Accent6" xfId="6" builtinId="50" customBuiltin="1"/>
    <cellStyle name="20% - Accent6 2" xfId="94" xr:uid="{00000000-0005-0000-0000-00000B000000}"/>
    <cellStyle name="40% - Accent1" xfId="7" builtinId="31" customBuiltin="1"/>
    <cellStyle name="40% - Accent1 2" xfId="75" xr:uid="{00000000-0005-0000-0000-00000D000000}"/>
    <cellStyle name="40% - Accent2" xfId="8" builtinId="35" customBuiltin="1"/>
    <cellStyle name="40% - Accent2 2" xfId="79" xr:uid="{00000000-0005-0000-0000-00000F000000}"/>
    <cellStyle name="40% - Accent3" xfId="9" builtinId="39" customBuiltin="1"/>
    <cellStyle name="40% - Accent3 2" xfId="83" xr:uid="{00000000-0005-0000-0000-000011000000}"/>
    <cellStyle name="40% - Accent4" xfId="10" builtinId="43" customBuiltin="1"/>
    <cellStyle name="40% - Accent4 2" xfId="87" xr:uid="{00000000-0005-0000-0000-000013000000}"/>
    <cellStyle name="40% - Accent5" xfId="11" builtinId="47" customBuiltin="1"/>
    <cellStyle name="40% - Accent5 2" xfId="91" xr:uid="{00000000-0005-0000-0000-000015000000}"/>
    <cellStyle name="40% - Accent6" xfId="12" builtinId="51" customBuiltin="1"/>
    <cellStyle name="40% - Accent6 2" xfId="95" xr:uid="{00000000-0005-0000-0000-000017000000}"/>
    <cellStyle name="60% - Accent1" xfId="13" builtinId="32" customBuiltin="1"/>
    <cellStyle name="60% - Accent1 2" xfId="76" xr:uid="{00000000-0005-0000-0000-000019000000}"/>
    <cellStyle name="60% - Accent2" xfId="14" builtinId="36" customBuiltin="1"/>
    <cellStyle name="60% - Accent2 2" xfId="80" xr:uid="{00000000-0005-0000-0000-00001B000000}"/>
    <cellStyle name="60% - Accent3" xfId="15" builtinId="40" customBuiltin="1"/>
    <cellStyle name="60% - Accent3 2" xfId="84" xr:uid="{00000000-0005-0000-0000-00001D000000}"/>
    <cellStyle name="60% - Accent4" xfId="16" builtinId="44" customBuiltin="1"/>
    <cellStyle name="60% - Accent4 2" xfId="88" xr:uid="{00000000-0005-0000-0000-00001F000000}"/>
    <cellStyle name="60% - Accent5" xfId="17" builtinId="48" customBuiltin="1"/>
    <cellStyle name="60% - Accent5 2" xfId="92" xr:uid="{00000000-0005-0000-0000-000021000000}"/>
    <cellStyle name="60% - Accent6" xfId="18" builtinId="52" customBuiltin="1"/>
    <cellStyle name="60% - Accent6 2" xfId="96" xr:uid="{00000000-0005-0000-0000-000023000000}"/>
    <cellStyle name="Accent1" xfId="19" builtinId="29" customBuiltin="1"/>
    <cellStyle name="Accent1 2" xfId="73" xr:uid="{00000000-0005-0000-0000-000025000000}"/>
    <cellStyle name="Accent2" xfId="20" builtinId="33" customBuiltin="1"/>
    <cellStyle name="Accent2 2" xfId="77" xr:uid="{00000000-0005-0000-0000-000027000000}"/>
    <cellStyle name="Accent3" xfId="21" builtinId="37" customBuiltin="1"/>
    <cellStyle name="Accent3 2" xfId="81" xr:uid="{00000000-0005-0000-0000-000029000000}"/>
    <cellStyle name="Accent4" xfId="22" builtinId="41" customBuiltin="1"/>
    <cellStyle name="Accent4 2" xfId="85" xr:uid="{00000000-0005-0000-0000-00002B000000}"/>
    <cellStyle name="Accent5" xfId="23" builtinId="45" customBuiltin="1"/>
    <cellStyle name="Accent5 2" xfId="89" xr:uid="{00000000-0005-0000-0000-00002D000000}"/>
    <cellStyle name="Accent6" xfId="24" builtinId="49" customBuiltin="1"/>
    <cellStyle name="Accent6 2" xfId="93" xr:uid="{00000000-0005-0000-0000-00002F000000}"/>
    <cellStyle name="Bad" xfId="25" builtinId="27" customBuiltin="1"/>
    <cellStyle name="Bad 2" xfId="62" xr:uid="{00000000-0005-0000-0000-000031000000}"/>
    <cellStyle name="Calculation" xfId="26" builtinId="22" customBuiltin="1"/>
    <cellStyle name="Calculation 2" xfId="66" xr:uid="{00000000-0005-0000-0000-000033000000}"/>
    <cellStyle name="Check Cell" xfId="27" builtinId="23" customBuiltin="1"/>
    <cellStyle name="Check Cell 2" xfId="68" xr:uid="{00000000-0005-0000-0000-000035000000}"/>
    <cellStyle name="Comma 2" xfId="46" xr:uid="{00000000-0005-0000-0000-000036000000}"/>
    <cellStyle name="Comma 2 2" xfId="48" xr:uid="{00000000-0005-0000-0000-000037000000}"/>
    <cellStyle name="Currency 2" xfId="50" xr:uid="{00000000-0005-0000-0000-000038000000}"/>
    <cellStyle name="Explanatory Text" xfId="28" builtinId="53" customBuiltin="1"/>
    <cellStyle name="Explanatory Text 2" xfId="71" xr:uid="{00000000-0005-0000-0000-00003A000000}"/>
    <cellStyle name="Good" xfId="29" builtinId="26" customBuiltin="1"/>
    <cellStyle name="Good 2" xfId="61" xr:uid="{00000000-0005-0000-0000-00003C000000}"/>
    <cellStyle name="Heading 1" xfId="30" builtinId="16" customBuiltin="1"/>
    <cellStyle name="Heading 1 2" xfId="57" xr:uid="{00000000-0005-0000-0000-00003E000000}"/>
    <cellStyle name="Heading 2" xfId="31" builtinId="17" customBuiltin="1"/>
    <cellStyle name="Heading 2 2" xfId="58" xr:uid="{00000000-0005-0000-0000-000040000000}"/>
    <cellStyle name="Heading 3" xfId="32" builtinId="18" customBuiltin="1"/>
    <cellStyle name="Heading 3 2" xfId="59" xr:uid="{00000000-0005-0000-0000-000042000000}"/>
    <cellStyle name="Heading 4" xfId="33" builtinId="19" customBuiltin="1"/>
    <cellStyle name="Heading 4 2" xfId="60" xr:uid="{00000000-0005-0000-0000-000044000000}"/>
    <cellStyle name="Input" xfId="34" builtinId="20" customBuiltin="1"/>
    <cellStyle name="Input 2" xfId="64" xr:uid="{00000000-0005-0000-0000-000046000000}"/>
    <cellStyle name="Linked Cell" xfId="35" builtinId="24" customBuiltin="1"/>
    <cellStyle name="Linked Cell 2" xfId="67" xr:uid="{00000000-0005-0000-0000-000048000000}"/>
    <cellStyle name="Neutral" xfId="36" builtinId="28" customBuiltin="1"/>
    <cellStyle name="Neutral 2" xfId="63" xr:uid="{00000000-0005-0000-0000-00004A000000}"/>
    <cellStyle name="Normal" xfId="0" builtinId="0"/>
    <cellStyle name="Normal 10" xfId="99" xr:uid="{00000000-0005-0000-0000-00004C000000}"/>
    <cellStyle name="Normal 11" xfId="100" xr:uid="{00000000-0005-0000-0000-00004D000000}"/>
    <cellStyle name="Normal 12" xfId="101" xr:uid="{00000000-0005-0000-0000-00004E000000}"/>
    <cellStyle name="Normal 13" xfId="102" xr:uid="{00000000-0005-0000-0000-00004F000000}"/>
    <cellStyle name="Normal 2" xfId="44" xr:uid="{00000000-0005-0000-0000-000050000000}"/>
    <cellStyle name="Normal 2 2" xfId="47" xr:uid="{00000000-0005-0000-0000-000051000000}"/>
    <cellStyle name="Normal 2 3" xfId="45" xr:uid="{00000000-0005-0000-0000-000052000000}"/>
    <cellStyle name="Normal 2 3 2" xfId="52" xr:uid="{00000000-0005-0000-0000-000053000000}"/>
    <cellStyle name="Normal 3" xfId="37" xr:uid="{00000000-0005-0000-0000-000054000000}"/>
    <cellStyle name="Normal 4" xfId="43" xr:uid="{00000000-0005-0000-0000-000055000000}"/>
    <cellStyle name="Normal 4 2" xfId="53" xr:uid="{00000000-0005-0000-0000-000056000000}"/>
    <cellStyle name="Normal 4 3" xfId="51" xr:uid="{00000000-0005-0000-0000-000057000000}"/>
    <cellStyle name="Normal 5" xfId="49" xr:uid="{00000000-0005-0000-0000-000058000000}"/>
    <cellStyle name="Normal 6" xfId="55" xr:uid="{00000000-0005-0000-0000-000059000000}"/>
    <cellStyle name="Normal 7" xfId="54" xr:uid="{00000000-0005-0000-0000-00005A000000}"/>
    <cellStyle name="Normal 8" xfId="97" xr:uid="{00000000-0005-0000-0000-00005B000000}"/>
    <cellStyle name="Normal 9" xfId="98" xr:uid="{00000000-0005-0000-0000-00005C000000}"/>
    <cellStyle name="Note" xfId="38" builtinId="10" customBuiltin="1"/>
    <cellStyle name="Note 2" xfId="70" xr:uid="{00000000-0005-0000-0000-00005E000000}"/>
    <cellStyle name="Output" xfId="39" builtinId="21" customBuiltin="1"/>
    <cellStyle name="Output 2" xfId="65" xr:uid="{00000000-0005-0000-0000-000060000000}"/>
    <cellStyle name="Percent" xfId="103" builtinId="5"/>
    <cellStyle name="Title" xfId="40" builtinId="15" customBuiltin="1"/>
    <cellStyle name="Title 2" xfId="56" xr:uid="{00000000-0005-0000-0000-000063000000}"/>
    <cellStyle name="Total" xfId="41" builtinId="25" customBuiltin="1"/>
    <cellStyle name="Total 2" xfId="72" xr:uid="{00000000-0005-0000-0000-000065000000}"/>
    <cellStyle name="Warning Text" xfId="42" builtinId="11" customBuiltin="1"/>
    <cellStyle name="Warning Text 2" xfId="69" xr:uid="{00000000-0005-0000-0000-00006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92"/>
  <sheetViews>
    <sheetView tabSelected="1" view="pageBreakPreview" zoomScale="80" zoomScaleNormal="80" zoomScaleSheetLayoutView="80" workbookViewId="0">
      <pane ySplit="4" topLeftCell="A5" activePane="bottomLeft" state="frozen"/>
      <selection pane="bottomLeft" activeCell="D3" sqref="D3:N3"/>
    </sheetView>
  </sheetViews>
  <sheetFormatPr defaultColWidth="9.6328125" defaultRowHeight="15.6"/>
  <cols>
    <col min="1" max="1" width="7.453125" style="1" customWidth="1"/>
    <col min="2" max="3" width="16.453125" style="1" customWidth="1"/>
    <col min="4" max="4" width="98.1796875" style="67" bestFit="1" customWidth="1"/>
    <col min="5" max="5" width="7.81640625" style="20" bestFit="1" customWidth="1"/>
    <col min="6" max="6" width="11.54296875" style="8" customWidth="1"/>
    <col min="7" max="7" width="20.08984375" style="8" customWidth="1"/>
    <col min="8" max="8" width="10.6328125" style="6" customWidth="1"/>
    <col min="9" max="9" width="15.08984375" style="6" bestFit="1" customWidth="1"/>
    <col min="10" max="10" width="15.6328125" style="6" bestFit="1" customWidth="1"/>
    <col min="11" max="11" width="12.36328125" style="6" bestFit="1" customWidth="1"/>
    <col min="12" max="12" width="14" style="6" bestFit="1" customWidth="1"/>
    <col min="13" max="13" width="8.81640625" style="6" bestFit="1" customWidth="1"/>
    <col min="14" max="14" width="13.81640625" style="18" customWidth="1"/>
    <col min="15" max="15" width="14.54296875" style="7" bestFit="1" customWidth="1"/>
    <col min="16" max="16" width="15.81640625" style="9" bestFit="1" customWidth="1"/>
    <col min="17" max="17" width="8.36328125" style="1" customWidth="1"/>
    <col min="18" max="18" width="9.6328125" style="1"/>
    <col min="19" max="19" width="10.36328125" style="1" bestFit="1" customWidth="1"/>
    <col min="20" max="20" width="9.6328125" style="1"/>
    <col min="21" max="21" width="9.6328125" style="12"/>
    <col min="22" max="16384" width="9.6328125" style="1"/>
  </cols>
  <sheetData>
    <row r="1" spans="1:25" ht="24.6">
      <c r="A1" s="110" t="s">
        <v>4</v>
      </c>
      <c r="B1" s="111"/>
      <c r="C1" s="75"/>
      <c r="D1" s="114" t="s">
        <v>99</v>
      </c>
      <c r="E1" s="115"/>
      <c r="F1" s="115"/>
      <c r="G1" s="115"/>
      <c r="H1" s="115"/>
      <c r="I1" s="115"/>
      <c r="J1" s="115"/>
      <c r="K1" s="115"/>
      <c r="L1" s="115"/>
      <c r="M1" s="115"/>
      <c r="N1" s="116"/>
      <c r="O1" s="79" t="s">
        <v>0</v>
      </c>
      <c r="P1" s="80" t="s">
        <v>1</v>
      </c>
    </row>
    <row r="2" spans="1:25" ht="24.6">
      <c r="A2" s="110" t="s">
        <v>5</v>
      </c>
      <c r="B2" s="111"/>
      <c r="C2" s="75"/>
      <c r="D2" s="114"/>
      <c r="E2" s="115"/>
      <c r="F2" s="115"/>
      <c r="G2" s="115"/>
      <c r="H2" s="115"/>
      <c r="I2" s="115"/>
      <c r="J2" s="115"/>
      <c r="K2" s="115"/>
      <c r="L2" s="115"/>
      <c r="M2" s="115"/>
      <c r="N2" s="116"/>
      <c r="O2" s="109" t="s">
        <v>25</v>
      </c>
      <c r="P2" s="108">
        <f>P84</f>
        <v>253999.85502623999</v>
      </c>
    </row>
    <row r="3" spans="1:25" ht="24.6">
      <c r="A3" s="112" t="s">
        <v>3</v>
      </c>
      <c r="B3" s="113"/>
      <c r="C3" s="76"/>
      <c r="D3" s="117">
        <v>45152</v>
      </c>
      <c r="E3" s="115"/>
      <c r="F3" s="115"/>
      <c r="G3" s="115"/>
      <c r="H3" s="115"/>
      <c r="I3" s="115"/>
      <c r="J3" s="115"/>
      <c r="K3" s="115"/>
      <c r="L3" s="115"/>
      <c r="M3" s="115"/>
      <c r="N3" s="116"/>
      <c r="O3" s="109"/>
      <c r="P3" s="109"/>
    </row>
    <row r="4" spans="1:25" s="5" customFormat="1" ht="31.2">
      <c r="A4" s="70" t="s">
        <v>19</v>
      </c>
      <c r="B4" s="70" t="s">
        <v>38</v>
      </c>
      <c r="C4" s="70" t="s">
        <v>26</v>
      </c>
      <c r="D4" s="71" t="s">
        <v>11</v>
      </c>
      <c r="E4" s="70" t="s">
        <v>12</v>
      </c>
      <c r="F4" s="71" t="s">
        <v>13</v>
      </c>
      <c r="G4" s="71" t="s">
        <v>14</v>
      </c>
      <c r="H4" s="72" t="s">
        <v>6</v>
      </c>
      <c r="I4" s="72" t="s">
        <v>8</v>
      </c>
      <c r="J4" s="72" t="s">
        <v>9</v>
      </c>
      <c r="K4" s="72" t="s">
        <v>15</v>
      </c>
      <c r="L4" s="72" t="s">
        <v>16</v>
      </c>
      <c r="M4" s="72" t="s">
        <v>17</v>
      </c>
      <c r="N4" s="73" t="s">
        <v>7</v>
      </c>
      <c r="O4" s="71" t="s">
        <v>2</v>
      </c>
      <c r="P4" s="72" t="s">
        <v>10</v>
      </c>
      <c r="Q4" s="4"/>
      <c r="R4" s="4"/>
      <c r="S4" s="4"/>
      <c r="T4" s="4"/>
      <c r="U4" s="13"/>
      <c r="V4" s="4"/>
      <c r="W4" s="4"/>
      <c r="X4" s="4"/>
      <c r="Y4" s="4"/>
    </row>
    <row r="5" spans="1:25" s="104" customFormat="1" ht="18">
      <c r="A5" s="95" t="str">
        <f>IF(H5&lt;&gt;"",1+MAX($A$5:A5),"")</f>
        <v/>
      </c>
      <c r="B5" s="96"/>
      <c r="C5" s="96"/>
      <c r="D5" s="97" t="s">
        <v>39</v>
      </c>
      <c r="E5" s="98"/>
      <c r="F5" s="99"/>
      <c r="G5" s="100"/>
      <c r="H5" s="99"/>
      <c r="I5" s="99"/>
      <c r="J5" s="99"/>
      <c r="K5" s="99"/>
      <c r="L5" s="99"/>
      <c r="M5" s="99"/>
      <c r="N5" s="101"/>
      <c r="O5" s="99"/>
      <c r="P5" s="102">
        <f>SUM(O8:O78)</f>
        <v>193893.01910400001</v>
      </c>
      <c r="Q5" s="103"/>
      <c r="R5" s="103"/>
      <c r="U5" s="105"/>
    </row>
    <row r="6" spans="1:25" s="3" customFormat="1">
      <c r="A6" s="33" t="str">
        <f>IF(H6&lt;&gt;"",1+MAX($A$5:A5),"")</f>
        <v/>
      </c>
      <c r="B6" s="62"/>
      <c r="C6" s="68"/>
      <c r="D6" s="63"/>
      <c r="E6" s="15"/>
      <c r="F6" s="16"/>
      <c r="G6" s="21"/>
      <c r="H6" s="17"/>
      <c r="I6" s="17"/>
      <c r="J6" s="17"/>
      <c r="K6" s="17"/>
      <c r="L6" s="17"/>
      <c r="M6" s="17"/>
      <c r="N6" s="81" t="s">
        <v>18</v>
      </c>
      <c r="O6" s="29">
        <v>76</v>
      </c>
      <c r="P6" s="54"/>
      <c r="Q6" s="2"/>
      <c r="R6" s="2"/>
      <c r="U6" s="14"/>
    </row>
    <row r="7" spans="1:25" s="40" customFormat="1">
      <c r="A7" s="33" t="str">
        <f>IF(H7&lt;&gt;"",1+MAX($A$5:A6),"")</f>
        <v/>
      </c>
      <c r="B7" s="78"/>
      <c r="C7" s="107" t="s">
        <v>40</v>
      </c>
      <c r="D7" s="74" t="s">
        <v>35</v>
      </c>
      <c r="E7" s="35"/>
      <c r="F7" s="36"/>
      <c r="G7" s="37"/>
      <c r="H7" s="38"/>
      <c r="I7" s="19"/>
      <c r="J7" s="19"/>
      <c r="K7" s="31"/>
      <c r="L7" s="19"/>
      <c r="M7" s="32"/>
      <c r="N7" s="11"/>
      <c r="O7" s="11"/>
      <c r="P7" s="54"/>
      <c r="Q7" s="39"/>
      <c r="R7" s="39"/>
      <c r="U7" s="41"/>
    </row>
    <row r="8" spans="1:25" s="40" customFormat="1">
      <c r="A8" s="33">
        <f>IF(H8&lt;&gt;"",1+MAX($A$5:A7),"")</f>
        <v>1</v>
      </c>
      <c r="B8" s="78"/>
      <c r="C8" s="107"/>
      <c r="D8" s="93" t="s">
        <v>41</v>
      </c>
      <c r="E8" s="35">
        <v>9</v>
      </c>
      <c r="F8" s="36">
        <v>0</v>
      </c>
      <c r="G8" s="37">
        <f>(1+F8)*E8</f>
        <v>9</v>
      </c>
      <c r="H8" s="38" t="s">
        <v>27</v>
      </c>
      <c r="I8" s="19"/>
      <c r="J8" s="19"/>
      <c r="K8" s="31"/>
      <c r="L8" s="19"/>
      <c r="M8" s="32"/>
      <c r="N8" s="11"/>
      <c r="O8" s="11"/>
      <c r="P8" s="54"/>
      <c r="Q8" s="39"/>
      <c r="R8" s="39"/>
      <c r="U8" s="41"/>
    </row>
    <row r="9" spans="1:25" s="40" customFormat="1">
      <c r="A9" s="33">
        <f>IF(H9&lt;&gt;"",1+MAX($A$5:A8),"")</f>
        <v>2</v>
      </c>
      <c r="B9" s="78"/>
      <c r="C9" s="107"/>
      <c r="D9" s="27" t="s">
        <v>42</v>
      </c>
      <c r="E9" s="35">
        <v>1</v>
      </c>
      <c r="F9" s="36">
        <v>0</v>
      </c>
      <c r="G9" s="37">
        <f>(1+F9)*E9</f>
        <v>1</v>
      </c>
      <c r="H9" s="38" t="s">
        <v>36</v>
      </c>
      <c r="I9" s="19">
        <f>2.33*4*38</f>
        <v>354.16</v>
      </c>
      <c r="J9" s="19">
        <f t="shared" ref="J9" si="0">I9*G9</f>
        <v>354.16</v>
      </c>
      <c r="K9" s="31">
        <f>0.08*2.33*4</f>
        <v>0.74560000000000004</v>
      </c>
      <c r="L9" s="19">
        <f>$O$6</f>
        <v>76</v>
      </c>
      <c r="M9" s="32">
        <f t="shared" ref="M9" si="1">K9*G9</f>
        <v>0.74560000000000004</v>
      </c>
      <c r="N9" s="11">
        <f t="shared" ref="N9" si="2">M9*L9</f>
        <v>56.665600000000005</v>
      </c>
      <c r="O9" s="11">
        <f t="shared" ref="O9" si="3">N9+J9</f>
        <v>410.82560000000001</v>
      </c>
      <c r="P9" s="54"/>
      <c r="Q9" s="39"/>
      <c r="R9" s="39"/>
      <c r="U9" s="41"/>
    </row>
    <row r="10" spans="1:25" s="40" customFormat="1">
      <c r="A10" s="33"/>
      <c r="B10" s="78"/>
      <c r="C10" s="107"/>
      <c r="D10" s="27"/>
      <c r="E10" s="35"/>
      <c r="F10" s="36"/>
      <c r="G10" s="37"/>
      <c r="H10" s="38"/>
      <c r="I10" s="19"/>
      <c r="J10" s="19"/>
      <c r="K10" s="31"/>
      <c r="L10" s="19"/>
      <c r="M10" s="32"/>
      <c r="N10" s="11"/>
      <c r="O10" s="11"/>
      <c r="P10" s="54"/>
      <c r="Q10" s="39"/>
      <c r="R10" s="39"/>
      <c r="U10" s="41"/>
    </row>
    <row r="11" spans="1:25" s="40" customFormat="1">
      <c r="A11" s="33" t="str">
        <f>IF(H11&lt;&gt;"",1+MAX($A$5:A9),"")</f>
        <v/>
      </c>
      <c r="B11" s="78"/>
      <c r="C11" s="107"/>
      <c r="D11" s="93" t="s">
        <v>43</v>
      </c>
      <c r="E11" s="35">
        <v>9</v>
      </c>
      <c r="F11" s="36"/>
      <c r="G11" s="37"/>
      <c r="H11" s="38"/>
      <c r="I11" s="19"/>
      <c r="J11" s="19"/>
      <c r="K11" s="31"/>
      <c r="L11" s="19"/>
      <c r="M11" s="32"/>
      <c r="N11" s="11"/>
      <c r="O11" s="11"/>
      <c r="P11" s="54"/>
      <c r="Q11" s="39"/>
      <c r="R11" s="39"/>
      <c r="U11" s="41"/>
    </row>
    <row r="12" spans="1:25" s="40" customFormat="1">
      <c r="A12" s="33">
        <f>IF(H12&lt;&gt;"",1+MAX($A$5:A11),"")</f>
        <v>3</v>
      </c>
      <c r="B12" s="78"/>
      <c r="C12" s="107"/>
      <c r="D12" s="27" t="s">
        <v>44</v>
      </c>
      <c r="E12" s="35">
        <v>1</v>
      </c>
      <c r="F12" s="36">
        <v>0</v>
      </c>
      <c r="G12" s="37">
        <f>(1+F12)*E12</f>
        <v>1</v>
      </c>
      <c r="H12" s="38" t="s">
        <v>36</v>
      </c>
      <c r="I12" s="19">
        <f>2.33*4*38</f>
        <v>354.16</v>
      </c>
      <c r="J12" s="19">
        <f t="shared" ref="J12" si="4">I12*G12</f>
        <v>354.16</v>
      </c>
      <c r="K12" s="31">
        <f>0.08*2.33*4</f>
        <v>0.74560000000000004</v>
      </c>
      <c r="L12" s="19">
        <f>$O$6</f>
        <v>76</v>
      </c>
      <c r="M12" s="32">
        <f t="shared" ref="M12" si="5">K12*G12</f>
        <v>0.74560000000000004</v>
      </c>
      <c r="N12" s="11">
        <f t="shared" ref="N12" si="6">M12*L12</f>
        <v>56.665600000000005</v>
      </c>
      <c r="O12" s="11">
        <f t="shared" ref="O12" si="7">N12+J12</f>
        <v>410.82560000000001</v>
      </c>
      <c r="P12" s="54"/>
      <c r="Q12" s="39"/>
      <c r="R12" s="39"/>
      <c r="U12" s="41"/>
    </row>
    <row r="13" spans="1:25" s="40" customFormat="1">
      <c r="A13" s="33"/>
      <c r="B13" s="78"/>
      <c r="C13" s="107"/>
      <c r="D13" s="27"/>
      <c r="E13" s="35"/>
      <c r="F13" s="36"/>
      <c r="G13" s="37"/>
      <c r="H13" s="38"/>
      <c r="I13" s="19"/>
      <c r="J13" s="19"/>
      <c r="K13" s="31"/>
      <c r="L13" s="19"/>
      <c r="M13" s="32"/>
      <c r="N13" s="11"/>
      <c r="O13" s="11"/>
      <c r="P13" s="54"/>
      <c r="Q13" s="39"/>
      <c r="R13" s="39"/>
      <c r="U13" s="41"/>
    </row>
    <row r="14" spans="1:25" s="40" customFormat="1">
      <c r="A14" s="33">
        <f>IF(H14&lt;&gt;"",1+MAX($A$5:A12),"")</f>
        <v>4</v>
      </c>
      <c r="B14" s="78"/>
      <c r="C14" s="107"/>
      <c r="D14" s="93" t="s">
        <v>45</v>
      </c>
      <c r="E14" s="35">
        <v>34</v>
      </c>
      <c r="F14" s="36">
        <v>0</v>
      </c>
      <c r="G14" s="37">
        <f>(1+F14)*E14</f>
        <v>34</v>
      </c>
      <c r="H14" s="38" t="s">
        <v>27</v>
      </c>
      <c r="I14" s="19"/>
      <c r="J14" s="19"/>
      <c r="K14" s="31"/>
      <c r="L14" s="19"/>
      <c r="M14" s="32"/>
      <c r="N14" s="11"/>
      <c r="O14" s="11"/>
      <c r="P14" s="54"/>
      <c r="Q14" s="39"/>
      <c r="R14" s="39"/>
      <c r="U14" s="41"/>
    </row>
    <row r="15" spans="1:25" s="40" customFormat="1">
      <c r="A15" s="33">
        <f>IF(H15&lt;&gt;"",1+MAX($A$5:A14),"")</f>
        <v>5</v>
      </c>
      <c r="B15" s="78"/>
      <c r="C15" s="107"/>
      <c r="D15" s="27" t="s">
        <v>46</v>
      </c>
      <c r="E15" s="35">
        <v>1</v>
      </c>
      <c r="F15" s="36">
        <v>0</v>
      </c>
      <c r="G15" s="37">
        <f>(1+F15)*E15</f>
        <v>1</v>
      </c>
      <c r="H15" s="38" t="s">
        <v>36</v>
      </c>
      <c r="I15" s="19">
        <f>6*7.33*38</f>
        <v>1671.2400000000002</v>
      </c>
      <c r="J15" s="19">
        <f t="shared" ref="J15:J16" si="8">I15*G15</f>
        <v>1671.2400000000002</v>
      </c>
      <c r="K15" s="31">
        <f>0.08*6*7.4</f>
        <v>3.552</v>
      </c>
      <c r="L15" s="19">
        <f t="shared" ref="L15:L16" si="9">$O$6</f>
        <v>76</v>
      </c>
      <c r="M15" s="32">
        <f t="shared" ref="M15:M16" si="10">K15*G15</f>
        <v>3.552</v>
      </c>
      <c r="N15" s="11">
        <f t="shared" ref="N15:N16" si="11">M15*L15</f>
        <v>269.952</v>
      </c>
      <c r="O15" s="11">
        <f t="shared" ref="O15:O16" si="12">N15+J15</f>
        <v>1941.1920000000002</v>
      </c>
      <c r="P15" s="54"/>
      <c r="Q15" s="39"/>
      <c r="R15" s="39"/>
      <c r="U15" s="41"/>
    </row>
    <row r="16" spans="1:25" s="40" customFormat="1">
      <c r="A16" s="33">
        <f>IF(H16&lt;&gt;"",1+MAX($A$5:A15),"")</f>
        <v>6</v>
      </c>
      <c r="B16" s="78"/>
      <c r="C16" s="107"/>
      <c r="D16" s="27" t="s">
        <v>47</v>
      </c>
      <c r="E16" s="35">
        <v>2</v>
      </c>
      <c r="F16" s="36">
        <v>0</v>
      </c>
      <c r="G16" s="37">
        <f>(1+F16)*E16</f>
        <v>2</v>
      </c>
      <c r="H16" s="38" t="s">
        <v>36</v>
      </c>
      <c r="I16" s="19">
        <f>1.55*3.88*38</f>
        <v>228.53200000000001</v>
      </c>
      <c r="J16" s="19">
        <f t="shared" si="8"/>
        <v>457.06400000000002</v>
      </c>
      <c r="K16" s="31">
        <f>0.08*1.55*3.88</f>
        <v>0.48112000000000005</v>
      </c>
      <c r="L16" s="19">
        <f t="shared" si="9"/>
        <v>76</v>
      </c>
      <c r="M16" s="32">
        <f t="shared" si="10"/>
        <v>0.9622400000000001</v>
      </c>
      <c r="N16" s="11">
        <f t="shared" si="11"/>
        <v>73.130240000000001</v>
      </c>
      <c r="O16" s="11">
        <f t="shared" si="12"/>
        <v>530.19424000000004</v>
      </c>
      <c r="P16" s="54"/>
      <c r="Q16" s="39"/>
      <c r="R16" s="39"/>
      <c r="U16" s="41"/>
    </row>
    <row r="17" spans="1:21" s="40" customFormat="1">
      <c r="A17" s="33"/>
      <c r="B17" s="78"/>
      <c r="C17" s="107"/>
      <c r="D17" s="27"/>
      <c r="E17" s="35"/>
      <c r="F17" s="36"/>
      <c r="G17" s="37"/>
      <c r="H17" s="38"/>
      <c r="I17" s="19"/>
      <c r="J17" s="19"/>
      <c r="K17" s="31"/>
      <c r="L17" s="19"/>
      <c r="M17" s="32"/>
      <c r="N17" s="11"/>
      <c r="O17" s="11"/>
      <c r="P17" s="54"/>
      <c r="Q17" s="39"/>
      <c r="R17" s="39"/>
      <c r="U17" s="41"/>
    </row>
    <row r="18" spans="1:21" s="40" customFormat="1">
      <c r="A18" s="33">
        <f>IF(H18&lt;&gt;"",1+MAX($A$5:A16),"")</f>
        <v>7</v>
      </c>
      <c r="B18" s="78"/>
      <c r="C18" s="107"/>
      <c r="D18" s="93" t="s">
        <v>48</v>
      </c>
      <c r="E18" s="35">
        <v>37</v>
      </c>
      <c r="F18" s="36">
        <v>0</v>
      </c>
      <c r="G18" s="37">
        <f>(1+F18)*E18</f>
        <v>37</v>
      </c>
      <c r="H18" s="38" t="s">
        <v>27</v>
      </c>
      <c r="I18" s="19"/>
      <c r="J18" s="19"/>
      <c r="K18" s="31"/>
      <c r="L18" s="19"/>
      <c r="M18" s="32"/>
      <c r="N18" s="11"/>
      <c r="O18" s="11"/>
      <c r="P18" s="54"/>
      <c r="Q18" s="39"/>
      <c r="R18" s="39"/>
      <c r="U18" s="41"/>
    </row>
    <row r="19" spans="1:21" s="40" customFormat="1" ht="31.2">
      <c r="A19" s="33">
        <f>IF(H19&lt;&gt;"",1+MAX($A$5:A18),"")</f>
        <v>8</v>
      </c>
      <c r="B19" s="78"/>
      <c r="C19" s="107"/>
      <c r="D19" s="27" t="s">
        <v>49</v>
      </c>
      <c r="E19" s="35">
        <v>2</v>
      </c>
      <c r="F19" s="36">
        <v>0</v>
      </c>
      <c r="G19" s="37">
        <f>(1+F19)*E19</f>
        <v>2</v>
      </c>
      <c r="H19" s="38" t="s">
        <v>36</v>
      </c>
      <c r="I19" s="19">
        <v>2877</v>
      </c>
      <c r="J19" s="19">
        <f t="shared" ref="J19" si="13">I19*G19</f>
        <v>5754</v>
      </c>
      <c r="K19" s="31">
        <v>12</v>
      </c>
      <c r="L19" s="19">
        <f>$O$6</f>
        <v>76</v>
      </c>
      <c r="M19" s="32">
        <f t="shared" ref="M19" si="14">K19*G19</f>
        <v>24</v>
      </c>
      <c r="N19" s="11">
        <f t="shared" ref="N19" si="15">M19*L19</f>
        <v>1824</v>
      </c>
      <c r="O19" s="11">
        <f t="shared" ref="O19" si="16">N19+J19</f>
        <v>7578</v>
      </c>
      <c r="P19" s="54"/>
      <c r="Q19" s="39"/>
      <c r="R19" s="39"/>
      <c r="U19" s="41"/>
    </row>
    <row r="20" spans="1:21" s="40" customFormat="1">
      <c r="A20" s="33"/>
      <c r="B20" s="78"/>
      <c r="C20" s="107"/>
      <c r="D20" s="27"/>
      <c r="E20" s="35"/>
      <c r="F20" s="36"/>
      <c r="G20" s="37"/>
      <c r="H20" s="38"/>
      <c r="I20" s="19"/>
      <c r="J20" s="19"/>
      <c r="K20" s="31"/>
      <c r="L20" s="19"/>
      <c r="M20" s="32"/>
      <c r="N20" s="11"/>
      <c r="O20" s="11"/>
      <c r="P20" s="54"/>
      <c r="Q20" s="39"/>
      <c r="R20" s="39"/>
      <c r="U20" s="41"/>
    </row>
    <row r="21" spans="1:21" s="40" customFormat="1">
      <c r="A21" s="33">
        <f>IF(H21&lt;&gt;"",1+MAX($A$5:A19),"")</f>
        <v>9</v>
      </c>
      <c r="B21" s="78"/>
      <c r="C21" s="107"/>
      <c r="D21" s="93" t="s">
        <v>50</v>
      </c>
      <c r="E21" s="35">
        <v>37</v>
      </c>
      <c r="F21" s="36">
        <v>0</v>
      </c>
      <c r="G21" s="37">
        <f>(1+F21)*E21</f>
        <v>37</v>
      </c>
      <c r="H21" s="38" t="s">
        <v>27</v>
      </c>
      <c r="I21" s="19"/>
      <c r="J21" s="19"/>
      <c r="K21" s="31"/>
      <c r="L21" s="19"/>
      <c r="M21" s="32"/>
      <c r="N21" s="11"/>
      <c r="O21" s="11"/>
      <c r="P21" s="54"/>
      <c r="Q21" s="39"/>
      <c r="R21" s="39"/>
      <c r="U21" s="41"/>
    </row>
    <row r="22" spans="1:21" s="40" customFormat="1" ht="31.2">
      <c r="A22" s="33">
        <f>IF(H22&lt;&gt;"",1+MAX($A$5:A21),"")</f>
        <v>10</v>
      </c>
      <c r="B22" s="78"/>
      <c r="C22" s="107"/>
      <c r="D22" s="27" t="s">
        <v>51</v>
      </c>
      <c r="E22" s="35">
        <v>1</v>
      </c>
      <c r="F22" s="36">
        <v>0</v>
      </c>
      <c r="G22" s="37">
        <f>(1+F22)*E22</f>
        <v>1</v>
      </c>
      <c r="H22" s="38" t="s">
        <v>36</v>
      </c>
      <c r="I22" s="19">
        <v>2877</v>
      </c>
      <c r="J22" s="19">
        <f t="shared" ref="J22" si="17">I22*G22</f>
        <v>2877</v>
      </c>
      <c r="K22" s="31">
        <v>12</v>
      </c>
      <c r="L22" s="19">
        <f>$O$6</f>
        <v>76</v>
      </c>
      <c r="M22" s="32">
        <f t="shared" ref="M22" si="18">K22*G22</f>
        <v>12</v>
      </c>
      <c r="N22" s="11">
        <f t="shared" ref="N22" si="19">M22*L22</f>
        <v>912</v>
      </c>
      <c r="O22" s="11">
        <f t="shared" ref="O22" si="20">N22+J22</f>
        <v>3789</v>
      </c>
      <c r="P22" s="54"/>
      <c r="Q22" s="39"/>
      <c r="R22" s="39"/>
      <c r="U22" s="41"/>
    </row>
    <row r="23" spans="1:21" s="40" customFormat="1">
      <c r="A23" s="33"/>
      <c r="B23" s="78"/>
      <c r="C23" s="107"/>
      <c r="D23" s="27"/>
      <c r="E23" s="35"/>
      <c r="F23" s="36"/>
      <c r="G23" s="37"/>
      <c r="H23" s="38"/>
      <c r="I23" s="19"/>
      <c r="J23" s="19"/>
      <c r="K23" s="31"/>
      <c r="L23" s="19"/>
      <c r="M23" s="32"/>
      <c r="N23" s="11"/>
      <c r="O23" s="11"/>
      <c r="P23" s="54"/>
      <c r="Q23" s="39"/>
      <c r="R23" s="39"/>
      <c r="U23" s="41"/>
    </row>
    <row r="24" spans="1:21" s="40" customFormat="1">
      <c r="A24" s="33">
        <f>IF(H24&lt;&gt;"",1+MAX($A$5:A22),"")</f>
        <v>11</v>
      </c>
      <c r="B24" s="78"/>
      <c r="C24" s="107"/>
      <c r="D24" s="93" t="s">
        <v>52</v>
      </c>
      <c r="E24" s="35">
        <v>169</v>
      </c>
      <c r="F24" s="36">
        <v>0</v>
      </c>
      <c r="G24" s="37">
        <f>(1+F24)*E24</f>
        <v>169</v>
      </c>
      <c r="H24" s="38" t="s">
        <v>27</v>
      </c>
      <c r="I24" s="19"/>
      <c r="J24" s="19"/>
      <c r="K24" s="31"/>
      <c r="L24" s="19"/>
      <c r="M24" s="32"/>
      <c r="N24" s="11"/>
      <c r="O24" s="11"/>
      <c r="P24" s="54"/>
      <c r="Q24" s="39"/>
      <c r="R24" s="39"/>
      <c r="U24" s="41"/>
    </row>
    <row r="25" spans="1:21" s="40" customFormat="1">
      <c r="A25" s="33">
        <f>IF(H25&lt;&gt;"",1+MAX($A$5:A24),"")</f>
        <v>12</v>
      </c>
      <c r="B25" s="78"/>
      <c r="C25" s="107"/>
      <c r="D25" s="27" t="s">
        <v>53</v>
      </c>
      <c r="E25" s="35">
        <v>9</v>
      </c>
      <c r="F25" s="36">
        <v>0</v>
      </c>
      <c r="G25" s="37">
        <f>(1+F25)*E25</f>
        <v>9</v>
      </c>
      <c r="H25" s="38" t="s">
        <v>36</v>
      </c>
      <c r="I25" s="19">
        <f>12.66*13.4*38</f>
        <v>6446.4719999999998</v>
      </c>
      <c r="J25" s="19">
        <f t="shared" ref="J25:J27" si="21">I25*G25</f>
        <v>58018.248</v>
      </c>
      <c r="K25" s="31">
        <f>12.66*13.3*0.08</f>
        <v>13.470240000000002</v>
      </c>
      <c r="L25" s="19">
        <f t="shared" ref="L25:L27" si="22">$O$6</f>
        <v>76</v>
      </c>
      <c r="M25" s="32">
        <f t="shared" ref="M25:M27" si="23">K25*G25</f>
        <v>121.23216000000002</v>
      </c>
      <c r="N25" s="11">
        <f t="shared" ref="N25:N27" si="24">M25*L25</f>
        <v>9213.6441600000016</v>
      </c>
      <c r="O25" s="11">
        <f t="shared" ref="O25:O27" si="25">N25+J25</f>
        <v>67231.892160000003</v>
      </c>
      <c r="P25" s="54"/>
      <c r="Q25" s="39"/>
      <c r="R25" s="39"/>
      <c r="U25" s="41"/>
    </row>
    <row r="26" spans="1:21" s="40" customFormat="1">
      <c r="A26" s="33">
        <f>IF(H26&lt;&gt;"",1+MAX($A$5:A25),"")</f>
        <v>13</v>
      </c>
      <c r="B26" s="78"/>
      <c r="C26" s="107"/>
      <c r="D26" s="27" t="s">
        <v>54</v>
      </c>
      <c r="E26" s="35">
        <v>3</v>
      </c>
      <c r="F26" s="36">
        <v>0</v>
      </c>
      <c r="G26" s="37">
        <f>(1+F26)*E26</f>
        <v>3</v>
      </c>
      <c r="H26" s="38" t="s">
        <v>36</v>
      </c>
      <c r="I26" s="19">
        <f>3.54*10*38</f>
        <v>1345.2</v>
      </c>
      <c r="J26" s="19">
        <f t="shared" si="21"/>
        <v>4035.6000000000004</v>
      </c>
      <c r="K26" s="31">
        <f>0.08*4*10</f>
        <v>3.2</v>
      </c>
      <c r="L26" s="19">
        <f t="shared" si="22"/>
        <v>76</v>
      </c>
      <c r="M26" s="32">
        <f t="shared" si="23"/>
        <v>9.6000000000000014</v>
      </c>
      <c r="N26" s="11">
        <f t="shared" si="24"/>
        <v>729.60000000000014</v>
      </c>
      <c r="O26" s="11">
        <f t="shared" si="25"/>
        <v>4765.2000000000007</v>
      </c>
      <c r="P26" s="54"/>
      <c r="Q26" s="39"/>
      <c r="R26" s="39"/>
      <c r="U26" s="41"/>
    </row>
    <row r="27" spans="1:21" s="40" customFormat="1">
      <c r="A27" s="33">
        <f>IF(H27&lt;&gt;"",1+MAX($A$5:A26),"")</f>
        <v>14</v>
      </c>
      <c r="B27" s="78"/>
      <c r="C27" s="107"/>
      <c r="D27" s="27" t="s">
        <v>55</v>
      </c>
      <c r="E27" s="35">
        <v>3</v>
      </c>
      <c r="F27" s="36">
        <v>0</v>
      </c>
      <c r="G27" s="37">
        <f>(1+F27)*E27</f>
        <v>3</v>
      </c>
      <c r="H27" s="38" t="s">
        <v>36</v>
      </c>
      <c r="I27" s="19">
        <f>4*3.4*38</f>
        <v>516.79999999999995</v>
      </c>
      <c r="J27" s="19">
        <f t="shared" si="21"/>
        <v>1550.3999999999999</v>
      </c>
      <c r="K27" s="31">
        <f>3.3*4*0.08</f>
        <v>1.056</v>
      </c>
      <c r="L27" s="19">
        <f t="shared" si="22"/>
        <v>76</v>
      </c>
      <c r="M27" s="32">
        <f t="shared" si="23"/>
        <v>3.1680000000000001</v>
      </c>
      <c r="N27" s="11">
        <f t="shared" si="24"/>
        <v>240.768</v>
      </c>
      <c r="O27" s="11">
        <f t="shared" si="25"/>
        <v>1791.1679999999999</v>
      </c>
      <c r="P27" s="54"/>
      <c r="Q27" s="39"/>
      <c r="R27" s="39"/>
      <c r="U27" s="41"/>
    </row>
    <row r="28" spans="1:21" s="40" customFormat="1">
      <c r="A28" s="33"/>
      <c r="B28" s="78"/>
      <c r="C28" s="107"/>
      <c r="D28" s="27"/>
      <c r="E28" s="35"/>
      <c r="F28" s="36"/>
      <c r="G28" s="37"/>
      <c r="H28" s="38"/>
      <c r="I28" s="19"/>
      <c r="J28" s="19"/>
      <c r="K28" s="31"/>
      <c r="L28" s="19"/>
      <c r="M28" s="32"/>
      <c r="N28" s="11"/>
      <c r="O28" s="11"/>
      <c r="P28" s="54"/>
      <c r="Q28" s="39"/>
      <c r="R28" s="39"/>
      <c r="U28" s="41"/>
    </row>
    <row r="29" spans="1:21" s="40" customFormat="1">
      <c r="A29" s="33">
        <f>IF(H29&lt;&gt;"",1+MAX($A$5:A27),"")</f>
        <v>15</v>
      </c>
      <c r="B29" s="78"/>
      <c r="C29" s="107"/>
      <c r="D29" s="93" t="s">
        <v>56</v>
      </c>
      <c r="E29" s="35">
        <v>102</v>
      </c>
      <c r="F29" s="36">
        <v>0</v>
      </c>
      <c r="G29" s="37">
        <f>(1+F29)*E29</f>
        <v>102</v>
      </c>
      <c r="H29" s="38" t="s">
        <v>27</v>
      </c>
      <c r="I29" s="19"/>
      <c r="J29" s="19"/>
      <c r="K29" s="31"/>
      <c r="L29" s="19"/>
      <c r="M29" s="32"/>
      <c r="N29" s="11"/>
      <c r="O29" s="11"/>
      <c r="P29" s="54"/>
      <c r="Q29" s="39"/>
      <c r="R29" s="39"/>
      <c r="U29" s="41"/>
    </row>
    <row r="30" spans="1:21" s="40" customFormat="1">
      <c r="A30" s="33">
        <f>IF(H30&lt;&gt;"",1+MAX($A$5:A29),"")</f>
        <v>16</v>
      </c>
      <c r="B30" s="78"/>
      <c r="C30" s="107"/>
      <c r="D30" s="27" t="s">
        <v>57</v>
      </c>
      <c r="E30" s="35">
        <v>2</v>
      </c>
      <c r="F30" s="36">
        <v>0</v>
      </c>
      <c r="G30" s="37">
        <f>(1+F30)*E30</f>
        <v>2</v>
      </c>
      <c r="H30" s="38" t="s">
        <v>36</v>
      </c>
      <c r="I30" s="19">
        <f>7.66*13.33*38</f>
        <v>3880.0963999999999</v>
      </c>
      <c r="J30" s="19">
        <f t="shared" ref="J30:J32" si="26">I30*G30</f>
        <v>7760.1927999999998</v>
      </c>
      <c r="K30" s="31">
        <f>0.08*7.6*13.33</f>
        <v>8.1046399999999998</v>
      </c>
      <c r="L30" s="19">
        <f t="shared" ref="L30:L32" si="27">$O$6</f>
        <v>76</v>
      </c>
      <c r="M30" s="32">
        <f t="shared" ref="M30:M32" si="28">K30*G30</f>
        <v>16.20928</v>
      </c>
      <c r="N30" s="11">
        <f t="shared" ref="N30:N32" si="29">M30*L30</f>
        <v>1231.9052799999999</v>
      </c>
      <c r="O30" s="11">
        <f t="shared" ref="O30:O32" si="30">N30+J30</f>
        <v>8992.0980799999998</v>
      </c>
      <c r="P30" s="54"/>
      <c r="Q30" s="39"/>
      <c r="R30" s="39"/>
      <c r="U30" s="41"/>
    </row>
    <row r="31" spans="1:21" s="40" customFormat="1">
      <c r="A31" s="33">
        <f>IF(H31&lt;&gt;"",1+MAX($A$5:A30),"")</f>
        <v>17</v>
      </c>
      <c r="B31" s="78"/>
      <c r="C31" s="107"/>
      <c r="D31" s="27" t="s">
        <v>58</v>
      </c>
      <c r="E31" s="35">
        <v>2</v>
      </c>
      <c r="F31" s="36">
        <v>0</v>
      </c>
      <c r="G31" s="37">
        <f>(1+F31)*E31</f>
        <v>2</v>
      </c>
      <c r="H31" s="38" t="s">
        <v>36</v>
      </c>
      <c r="I31" s="19">
        <f>3.88*10*38</f>
        <v>1474.3999999999999</v>
      </c>
      <c r="J31" s="19">
        <f t="shared" si="26"/>
        <v>2948.7999999999997</v>
      </c>
      <c r="K31" s="31">
        <f>3.88*10*0.08</f>
        <v>3.1039999999999996</v>
      </c>
      <c r="L31" s="19">
        <f t="shared" si="27"/>
        <v>76</v>
      </c>
      <c r="M31" s="32">
        <f t="shared" si="28"/>
        <v>6.2079999999999993</v>
      </c>
      <c r="N31" s="11">
        <f t="shared" si="29"/>
        <v>471.80799999999994</v>
      </c>
      <c r="O31" s="11">
        <f t="shared" si="30"/>
        <v>3420.6079999999997</v>
      </c>
      <c r="P31" s="54"/>
      <c r="Q31" s="39"/>
      <c r="R31" s="39"/>
      <c r="U31" s="41"/>
    </row>
    <row r="32" spans="1:21" s="40" customFormat="1">
      <c r="A32" s="33">
        <f>IF(H32&lt;&gt;"",1+MAX($A$5:A31),"")</f>
        <v>18</v>
      </c>
      <c r="B32" s="78"/>
      <c r="C32" s="107"/>
      <c r="D32" s="27" t="s">
        <v>59</v>
      </c>
      <c r="E32" s="35">
        <v>2</v>
      </c>
      <c r="F32" s="36">
        <v>0</v>
      </c>
      <c r="G32" s="37">
        <f>(1+F32)*E32</f>
        <v>2</v>
      </c>
      <c r="H32" s="38" t="s">
        <v>36</v>
      </c>
      <c r="I32" s="19">
        <f>3.88*3.33*38</f>
        <v>490.97520000000003</v>
      </c>
      <c r="J32" s="19">
        <f t="shared" si="26"/>
        <v>981.95040000000006</v>
      </c>
      <c r="K32" s="31">
        <f>0.08*3.88*3.33</f>
        <v>1.0336320000000001</v>
      </c>
      <c r="L32" s="19">
        <f t="shared" si="27"/>
        <v>76</v>
      </c>
      <c r="M32" s="32">
        <f t="shared" si="28"/>
        <v>2.0672640000000002</v>
      </c>
      <c r="N32" s="11">
        <f t="shared" si="29"/>
        <v>157.112064</v>
      </c>
      <c r="O32" s="11">
        <f t="shared" si="30"/>
        <v>1139.0624640000001</v>
      </c>
      <c r="P32" s="54"/>
      <c r="Q32" s="39"/>
      <c r="R32" s="39"/>
      <c r="U32" s="41"/>
    </row>
    <row r="33" spans="1:21" s="40" customFormat="1">
      <c r="A33" s="33"/>
      <c r="B33" s="78"/>
      <c r="C33" s="107"/>
      <c r="D33" s="27"/>
      <c r="E33" s="35"/>
      <c r="F33" s="36"/>
      <c r="G33" s="37"/>
      <c r="H33" s="38"/>
      <c r="I33" s="19"/>
      <c r="J33" s="19"/>
      <c r="K33" s="31"/>
      <c r="L33" s="19"/>
      <c r="M33" s="32"/>
      <c r="N33" s="11"/>
      <c r="O33" s="11"/>
      <c r="P33" s="54"/>
      <c r="Q33" s="39"/>
      <c r="R33" s="39"/>
      <c r="U33" s="41"/>
    </row>
    <row r="34" spans="1:21" s="40" customFormat="1">
      <c r="A34" s="33">
        <f>IF(H34&lt;&gt;"",1+MAX($A$5:A32),"")</f>
        <v>19</v>
      </c>
      <c r="B34" s="78"/>
      <c r="C34" s="107"/>
      <c r="D34" s="93" t="s">
        <v>60</v>
      </c>
      <c r="E34" s="35">
        <v>171</v>
      </c>
      <c r="F34" s="36">
        <v>0</v>
      </c>
      <c r="G34" s="37">
        <f t="shared" ref="G34:G39" si="31">(1+F34)*E34</f>
        <v>171</v>
      </c>
      <c r="H34" s="38" t="s">
        <v>27</v>
      </c>
      <c r="I34" s="19"/>
      <c r="J34" s="19"/>
      <c r="K34" s="31"/>
      <c r="L34" s="19"/>
      <c r="M34" s="32"/>
      <c r="N34" s="11"/>
      <c r="O34" s="11"/>
      <c r="P34" s="54"/>
      <c r="Q34" s="39"/>
      <c r="R34" s="39"/>
      <c r="U34" s="41"/>
    </row>
    <row r="35" spans="1:21" s="40" customFormat="1">
      <c r="A35" s="33">
        <f>IF(H35&lt;&gt;"",1+MAX($A$5:A34),"")</f>
        <v>20</v>
      </c>
      <c r="B35" s="78"/>
      <c r="C35" s="107"/>
      <c r="D35" s="27" t="s">
        <v>61</v>
      </c>
      <c r="E35" s="35">
        <v>1</v>
      </c>
      <c r="F35" s="36">
        <v>0</v>
      </c>
      <c r="G35" s="37">
        <f t="shared" si="31"/>
        <v>1</v>
      </c>
      <c r="H35" s="38" t="s">
        <v>36</v>
      </c>
      <c r="I35" s="19">
        <f>12.66*13.4*38</f>
        <v>6446.4719999999998</v>
      </c>
      <c r="J35" s="19">
        <f t="shared" ref="J35" si="32">I35*G35</f>
        <v>6446.4719999999998</v>
      </c>
      <c r="K35" s="31">
        <f>12.66*13.3*0.08</f>
        <v>13.470240000000002</v>
      </c>
      <c r="L35" s="19">
        <f t="shared" ref="L35:L39" si="33">$O$6</f>
        <v>76</v>
      </c>
      <c r="M35" s="32">
        <f t="shared" ref="M35:M39" si="34">K35*G35</f>
        <v>13.470240000000002</v>
      </c>
      <c r="N35" s="11">
        <f t="shared" ref="N35:N39" si="35">M35*L35</f>
        <v>1023.7382400000001</v>
      </c>
      <c r="O35" s="11">
        <f t="shared" ref="O35:O39" si="36">N35+J35</f>
        <v>7470.2102400000003</v>
      </c>
      <c r="P35" s="54"/>
      <c r="Q35" s="39"/>
      <c r="R35" s="39"/>
      <c r="U35" s="41"/>
    </row>
    <row r="36" spans="1:21" s="40" customFormat="1">
      <c r="A36" s="33">
        <f>IF(H36&lt;&gt;"",1+MAX($A$5:A35),"")</f>
        <v>21</v>
      </c>
      <c r="B36" s="78"/>
      <c r="C36" s="107"/>
      <c r="D36" s="27" t="s">
        <v>62</v>
      </c>
      <c r="E36" s="35">
        <v>2</v>
      </c>
      <c r="F36" s="36">
        <v>0</v>
      </c>
      <c r="G36" s="37">
        <f t="shared" si="31"/>
        <v>2</v>
      </c>
      <c r="H36" s="38" t="s">
        <v>36</v>
      </c>
      <c r="I36" s="19">
        <f>4.88*10*38</f>
        <v>1854.3999999999999</v>
      </c>
      <c r="J36" s="19">
        <f t="shared" ref="J36:J39" si="37">I36*G36</f>
        <v>3708.7999999999997</v>
      </c>
      <c r="K36" s="31">
        <f>0.08*4.88*10</f>
        <v>3.9040000000000004</v>
      </c>
      <c r="L36" s="19">
        <f t="shared" si="33"/>
        <v>76</v>
      </c>
      <c r="M36" s="32">
        <f t="shared" si="34"/>
        <v>7.8080000000000007</v>
      </c>
      <c r="N36" s="11">
        <f t="shared" si="35"/>
        <v>593.40800000000002</v>
      </c>
      <c r="O36" s="11">
        <f t="shared" si="36"/>
        <v>4302.2079999999996</v>
      </c>
      <c r="P36" s="54"/>
      <c r="Q36" s="39"/>
      <c r="R36" s="39"/>
      <c r="U36" s="41"/>
    </row>
    <row r="37" spans="1:21" s="40" customFormat="1">
      <c r="A37" s="33">
        <f>IF(H37&lt;&gt;"",1+MAX($A$5:A36),"")</f>
        <v>22</v>
      </c>
      <c r="B37" s="78"/>
      <c r="C37" s="107"/>
      <c r="D37" s="27" t="s">
        <v>63</v>
      </c>
      <c r="E37" s="35">
        <v>2</v>
      </c>
      <c r="F37" s="36">
        <v>0</v>
      </c>
      <c r="G37" s="37">
        <f t="shared" si="31"/>
        <v>2</v>
      </c>
      <c r="H37" s="38" t="s">
        <v>36</v>
      </c>
      <c r="I37" s="19">
        <f>4.88*3.33*38</f>
        <v>617.51519999999994</v>
      </c>
      <c r="J37" s="19">
        <f t="shared" si="37"/>
        <v>1235.0303999999999</v>
      </c>
      <c r="K37" s="31">
        <f>0.08*4.88*3.33</f>
        <v>1.3000320000000001</v>
      </c>
      <c r="L37" s="19">
        <f t="shared" si="33"/>
        <v>76</v>
      </c>
      <c r="M37" s="32">
        <f t="shared" si="34"/>
        <v>2.6000640000000002</v>
      </c>
      <c r="N37" s="11">
        <f t="shared" si="35"/>
        <v>197.60486400000002</v>
      </c>
      <c r="O37" s="11">
        <f t="shared" si="36"/>
        <v>1432.635264</v>
      </c>
      <c r="P37" s="54"/>
      <c r="Q37" s="39"/>
      <c r="R37" s="39"/>
      <c r="U37" s="41"/>
    </row>
    <row r="38" spans="1:21" s="40" customFormat="1">
      <c r="A38" s="33">
        <f>IF(H38&lt;&gt;"",1+MAX($A$5:A37),"")</f>
        <v>23</v>
      </c>
      <c r="B38" s="78"/>
      <c r="C38" s="107"/>
      <c r="D38" s="27" t="s">
        <v>64</v>
      </c>
      <c r="E38" s="35">
        <v>1</v>
      </c>
      <c r="F38" s="36">
        <v>0</v>
      </c>
      <c r="G38" s="37">
        <f t="shared" si="31"/>
        <v>1</v>
      </c>
      <c r="H38" s="38" t="s">
        <v>36</v>
      </c>
      <c r="I38" s="19">
        <f>3*2.88*38</f>
        <v>328.32000000000005</v>
      </c>
      <c r="J38" s="19">
        <f t="shared" si="37"/>
        <v>328.32000000000005</v>
      </c>
      <c r="K38" s="31">
        <f>0.08*3*2.88</f>
        <v>0.69119999999999993</v>
      </c>
      <c r="L38" s="19">
        <f t="shared" si="33"/>
        <v>76</v>
      </c>
      <c r="M38" s="32">
        <f t="shared" si="34"/>
        <v>0.69119999999999993</v>
      </c>
      <c r="N38" s="11">
        <f t="shared" si="35"/>
        <v>52.531199999999991</v>
      </c>
      <c r="O38" s="11">
        <f t="shared" si="36"/>
        <v>380.85120000000006</v>
      </c>
      <c r="P38" s="54"/>
      <c r="Q38" s="39"/>
      <c r="R38" s="39"/>
      <c r="U38" s="41"/>
    </row>
    <row r="39" spans="1:21" s="40" customFormat="1">
      <c r="A39" s="33">
        <f>IF(H39&lt;&gt;"",1+MAX($A$5:A38),"")</f>
        <v>24</v>
      </c>
      <c r="B39" s="78"/>
      <c r="C39" s="107"/>
      <c r="D39" s="27" t="s">
        <v>65</v>
      </c>
      <c r="E39" s="35">
        <v>1</v>
      </c>
      <c r="F39" s="36">
        <v>0</v>
      </c>
      <c r="G39" s="37">
        <f t="shared" si="31"/>
        <v>1</v>
      </c>
      <c r="H39" s="38" t="s">
        <v>36</v>
      </c>
      <c r="I39" s="19">
        <f>3*3.4*38</f>
        <v>387.59999999999997</v>
      </c>
      <c r="J39" s="19">
        <f t="shared" si="37"/>
        <v>387.59999999999997</v>
      </c>
      <c r="K39" s="31">
        <f>0.08*3*3.33</f>
        <v>0.79920000000000002</v>
      </c>
      <c r="L39" s="19">
        <f t="shared" si="33"/>
        <v>76</v>
      </c>
      <c r="M39" s="32">
        <f t="shared" si="34"/>
        <v>0.79920000000000002</v>
      </c>
      <c r="N39" s="11">
        <f t="shared" si="35"/>
        <v>60.739200000000004</v>
      </c>
      <c r="O39" s="11">
        <f t="shared" si="36"/>
        <v>448.33919999999995</v>
      </c>
      <c r="P39" s="54"/>
      <c r="Q39" s="39"/>
      <c r="R39" s="39"/>
      <c r="U39" s="41"/>
    </row>
    <row r="40" spans="1:21" s="40" customFormat="1">
      <c r="A40" s="33"/>
      <c r="B40" s="78"/>
      <c r="C40" s="107"/>
      <c r="D40" s="27"/>
      <c r="E40" s="35"/>
      <c r="F40" s="36"/>
      <c r="G40" s="37"/>
      <c r="H40" s="38"/>
      <c r="I40" s="19"/>
      <c r="J40" s="19"/>
      <c r="K40" s="31"/>
      <c r="L40" s="19"/>
      <c r="M40" s="32"/>
      <c r="N40" s="11"/>
      <c r="O40" s="11"/>
      <c r="P40" s="54"/>
      <c r="Q40" s="39"/>
      <c r="R40" s="39"/>
      <c r="U40" s="41"/>
    </row>
    <row r="41" spans="1:21" s="40" customFormat="1">
      <c r="A41" s="33">
        <f>IF(H41&lt;&gt;"",1+MAX($A$5:A39),"")</f>
        <v>25</v>
      </c>
      <c r="B41" s="78"/>
      <c r="C41" s="107"/>
      <c r="D41" s="93" t="s">
        <v>66</v>
      </c>
      <c r="E41" s="35">
        <v>85</v>
      </c>
      <c r="F41" s="36">
        <v>0</v>
      </c>
      <c r="G41" s="37">
        <f>(1+F41)*E41</f>
        <v>85</v>
      </c>
      <c r="H41" s="38" t="s">
        <v>27</v>
      </c>
      <c r="I41" s="19"/>
      <c r="J41" s="19"/>
      <c r="K41" s="31"/>
      <c r="L41" s="19"/>
      <c r="M41" s="32"/>
      <c r="N41" s="11"/>
      <c r="O41" s="11"/>
      <c r="P41" s="54"/>
      <c r="Q41" s="39"/>
      <c r="R41" s="39"/>
      <c r="U41" s="41"/>
    </row>
    <row r="42" spans="1:21" s="40" customFormat="1" ht="31.2">
      <c r="A42" s="33">
        <f>IF(H42&lt;&gt;"",1+MAX($A$5:A41),"")</f>
        <v>26</v>
      </c>
      <c r="B42" s="78"/>
      <c r="C42" s="107"/>
      <c r="D42" s="27" t="s">
        <v>67</v>
      </c>
      <c r="E42" s="35">
        <v>2</v>
      </c>
      <c r="F42" s="36">
        <v>0</v>
      </c>
      <c r="G42" s="37">
        <f>(1+F42)*E42</f>
        <v>2</v>
      </c>
      <c r="H42" s="38" t="s">
        <v>36</v>
      </c>
      <c r="I42" s="19">
        <f>2*4.5*18.88*38</f>
        <v>6456.9599999999991</v>
      </c>
      <c r="J42" s="19">
        <f t="shared" ref="J42" si="38">I42*G42</f>
        <v>12913.919999999998</v>
      </c>
      <c r="K42" s="31">
        <f>0.08*2*4.5*18.88</f>
        <v>13.593599999999999</v>
      </c>
      <c r="L42" s="19">
        <f>$O$6</f>
        <v>76</v>
      </c>
      <c r="M42" s="32">
        <f t="shared" ref="M42" si="39">K42*G42</f>
        <v>27.187199999999997</v>
      </c>
      <c r="N42" s="11">
        <f t="shared" ref="N42" si="40">M42*L42</f>
        <v>2066.2271999999998</v>
      </c>
      <c r="O42" s="11">
        <f t="shared" ref="O42" si="41">N42+J42</f>
        <v>14980.147199999998</v>
      </c>
      <c r="P42" s="54"/>
      <c r="Q42" s="39"/>
      <c r="R42" s="39"/>
      <c r="U42" s="41"/>
    </row>
    <row r="43" spans="1:21" s="40" customFormat="1">
      <c r="A43" s="33"/>
      <c r="B43" s="78"/>
      <c r="C43" s="107"/>
      <c r="D43" s="27"/>
      <c r="E43" s="35"/>
      <c r="F43" s="36"/>
      <c r="G43" s="37"/>
      <c r="H43" s="38"/>
      <c r="I43" s="19"/>
      <c r="J43" s="19"/>
      <c r="K43" s="31"/>
      <c r="L43" s="19"/>
      <c r="M43" s="32"/>
      <c r="N43" s="11"/>
      <c r="O43" s="11"/>
      <c r="P43" s="54"/>
      <c r="Q43" s="39"/>
      <c r="R43" s="39"/>
      <c r="U43" s="41"/>
    </row>
    <row r="44" spans="1:21" s="40" customFormat="1">
      <c r="A44" s="33">
        <f>IF(H44&lt;&gt;"",1+MAX($A$5:A42),"")</f>
        <v>27</v>
      </c>
      <c r="B44" s="78"/>
      <c r="C44" s="107"/>
      <c r="D44" s="93" t="s">
        <v>68</v>
      </c>
      <c r="E44" s="35">
        <v>104</v>
      </c>
      <c r="F44" s="36">
        <v>0</v>
      </c>
      <c r="G44" s="37">
        <f t="shared" ref="G44:G50" si="42">(1+F44)*E44</f>
        <v>104</v>
      </c>
      <c r="H44" s="38" t="s">
        <v>27</v>
      </c>
      <c r="I44" s="19"/>
      <c r="J44" s="19"/>
      <c r="K44" s="31"/>
      <c r="L44" s="19"/>
      <c r="M44" s="32"/>
      <c r="N44" s="11"/>
      <c r="O44" s="11"/>
      <c r="P44" s="54"/>
      <c r="Q44" s="39"/>
      <c r="R44" s="39"/>
      <c r="U44" s="41"/>
    </row>
    <row r="45" spans="1:21" s="40" customFormat="1">
      <c r="A45" s="33">
        <f>IF(H45&lt;&gt;"",1+MAX($A$5:A44),"")</f>
        <v>28</v>
      </c>
      <c r="B45" s="78"/>
      <c r="C45" s="107"/>
      <c r="D45" s="27" t="s">
        <v>69</v>
      </c>
      <c r="E45" s="35">
        <v>1</v>
      </c>
      <c r="F45" s="36">
        <v>0</v>
      </c>
      <c r="G45" s="37">
        <f t="shared" si="42"/>
        <v>1</v>
      </c>
      <c r="H45" s="38" t="s">
        <v>36</v>
      </c>
      <c r="I45" s="19">
        <f>7.66*13.33*38</f>
        <v>3880.0963999999999</v>
      </c>
      <c r="J45" s="19">
        <f t="shared" ref="J45:J47" si="43">I45*G45</f>
        <v>3880.0963999999999</v>
      </c>
      <c r="K45" s="31">
        <f>0.08*7.6*13.33</f>
        <v>8.1046399999999998</v>
      </c>
      <c r="L45" s="19">
        <f t="shared" ref="L45:L50" si="44">$O$6</f>
        <v>76</v>
      </c>
      <c r="M45" s="32">
        <f t="shared" ref="M45:M50" si="45">K45*G45</f>
        <v>8.1046399999999998</v>
      </c>
      <c r="N45" s="11">
        <f t="shared" ref="N45:N50" si="46">M45*L45</f>
        <v>615.95263999999997</v>
      </c>
      <c r="O45" s="11">
        <f t="shared" ref="O45:O50" si="47">N45+J45</f>
        <v>4496.0490399999999</v>
      </c>
      <c r="P45" s="54"/>
      <c r="Q45" s="39"/>
      <c r="R45" s="39"/>
      <c r="U45" s="41"/>
    </row>
    <row r="46" spans="1:21" s="40" customFormat="1">
      <c r="A46" s="33">
        <f>IF(H46&lt;&gt;"",1+MAX($A$5:A45),"")</f>
        <v>29</v>
      </c>
      <c r="B46" s="78"/>
      <c r="C46" s="107"/>
      <c r="D46" s="27" t="s">
        <v>70</v>
      </c>
      <c r="E46" s="35">
        <v>1</v>
      </c>
      <c r="F46" s="36">
        <v>0</v>
      </c>
      <c r="G46" s="37">
        <f t="shared" si="42"/>
        <v>1</v>
      </c>
      <c r="H46" s="38" t="s">
        <v>36</v>
      </c>
      <c r="I46" s="19">
        <f>3*3.4*38</f>
        <v>387.59999999999997</v>
      </c>
      <c r="J46" s="19">
        <f t="shared" si="43"/>
        <v>387.59999999999997</v>
      </c>
      <c r="K46" s="31">
        <f>0.08*3*3.33</f>
        <v>0.79920000000000002</v>
      </c>
      <c r="L46" s="19">
        <f t="shared" si="44"/>
        <v>76</v>
      </c>
      <c r="M46" s="32">
        <f t="shared" si="45"/>
        <v>0.79920000000000002</v>
      </c>
      <c r="N46" s="11">
        <f t="shared" si="46"/>
        <v>60.739200000000004</v>
      </c>
      <c r="O46" s="11">
        <f t="shared" si="47"/>
        <v>448.33919999999995</v>
      </c>
      <c r="P46" s="54"/>
      <c r="Q46" s="39"/>
      <c r="R46" s="39"/>
      <c r="U46" s="41"/>
    </row>
    <row r="47" spans="1:21" s="40" customFormat="1">
      <c r="A47" s="33">
        <f>IF(H47&lt;&gt;"",1+MAX($A$5:A46),"")</f>
        <v>30</v>
      </c>
      <c r="B47" s="78"/>
      <c r="C47" s="107"/>
      <c r="D47" s="27" t="s">
        <v>71</v>
      </c>
      <c r="E47" s="35">
        <v>1</v>
      </c>
      <c r="F47" s="36">
        <v>0</v>
      </c>
      <c r="G47" s="37">
        <f t="shared" si="42"/>
        <v>1</v>
      </c>
      <c r="H47" s="38" t="s">
        <v>36</v>
      </c>
      <c r="I47" s="19">
        <f>3*3.4*38</f>
        <v>387.59999999999997</v>
      </c>
      <c r="J47" s="19">
        <f t="shared" si="43"/>
        <v>387.59999999999997</v>
      </c>
      <c r="K47" s="31">
        <f>0.08*3*3.33</f>
        <v>0.79920000000000002</v>
      </c>
      <c r="L47" s="19">
        <f t="shared" si="44"/>
        <v>76</v>
      </c>
      <c r="M47" s="32">
        <f t="shared" si="45"/>
        <v>0.79920000000000002</v>
      </c>
      <c r="N47" s="11">
        <f t="shared" si="46"/>
        <v>60.739200000000004</v>
      </c>
      <c r="O47" s="11">
        <f t="shared" si="47"/>
        <v>448.33919999999995</v>
      </c>
      <c r="P47" s="54"/>
      <c r="Q47" s="39"/>
      <c r="R47" s="39"/>
      <c r="U47" s="41"/>
    </row>
    <row r="48" spans="1:21" s="40" customFormat="1">
      <c r="A48" s="33">
        <f>IF(H48&lt;&gt;"",1+MAX($A$5:A47),"")</f>
        <v>31</v>
      </c>
      <c r="B48" s="78"/>
      <c r="C48" s="107"/>
      <c r="D48" s="27" t="s">
        <v>72</v>
      </c>
      <c r="E48" s="35">
        <v>1</v>
      </c>
      <c r="F48" s="36">
        <v>0</v>
      </c>
      <c r="G48" s="37">
        <f t="shared" si="42"/>
        <v>1</v>
      </c>
      <c r="H48" s="38" t="s">
        <v>36</v>
      </c>
      <c r="I48" s="19">
        <f>4.66*3.33*38</f>
        <v>589.67640000000006</v>
      </c>
      <c r="J48" s="19">
        <f t="shared" ref="J48:J50" si="48">I48*G48</f>
        <v>589.67640000000006</v>
      </c>
      <c r="K48" s="31">
        <f>0.08*4.88*3.44</f>
        <v>1.3429760000000002</v>
      </c>
      <c r="L48" s="19">
        <f t="shared" si="44"/>
        <v>76</v>
      </c>
      <c r="M48" s="32">
        <f t="shared" si="45"/>
        <v>1.3429760000000002</v>
      </c>
      <c r="N48" s="11">
        <f t="shared" si="46"/>
        <v>102.06617600000001</v>
      </c>
      <c r="O48" s="11">
        <f t="shared" si="47"/>
        <v>691.7425760000001</v>
      </c>
      <c r="P48" s="54"/>
      <c r="Q48" s="39"/>
      <c r="R48" s="39"/>
      <c r="U48" s="41"/>
    </row>
    <row r="49" spans="1:21" s="40" customFormat="1">
      <c r="A49" s="33">
        <f>IF(H49&lt;&gt;"",1+MAX($A$5:A48),"")</f>
        <v>32</v>
      </c>
      <c r="B49" s="78"/>
      <c r="C49" s="107"/>
      <c r="D49" s="27" t="s">
        <v>73</v>
      </c>
      <c r="E49" s="35">
        <v>1</v>
      </c>
      <c r="F49" s="36">
        <v>0</v>
      </c>
      <c r="G49" s="37">
        <f t="shared" si="42"/>
        <v>1</v>
      </c>
      <c r="H49" s="38" t="s">
        <v>36</v>
      </c>
      <c r="I49" s="19">
        <f>4.66*3*38</f>
        <v>531.24</v>
      </c>
      <c r="J49" s="19">
        <f t="shared" si="48"/>
        <v>531.24</v>
      </c>
      <c r="K49" s="31">
        <f>0.08*4.88*3</f>
        <v>1.1712</v>
      </c>
      <c r="L49" s="19">
        <f t="shared" si="44"/>
        <v>76</v>
      </c>
      <c r="M49" s="32">
        <f t="shared" si="45"/>
        <v>1.1712</v>
      </c>
      <c r="N49" s="11">
        <f t="shared" si="46"/>
        <v>89.011200000000002</v>
      </c>
      <c r="O49" s="11">
        <f t="shared" si="47"/>
        <v>620.25120000000004</v>
      </c>
      <c r="P49" s="54"/>
      <c r="Q49" s="39"/>
      <c r="R49" s="39"/>
      <c r="U49" s="41"/>
    </row>
    <row r="50" spans="1:21" s="40" customFormat="1">
      <c r="A50" s="33">
        <f>IF(H50&lt;&gt;"",1+MAX($A$5:A49),"")</f>
        <v>33</v>
      </c>
      <c r="B50" s="78"/>
      <c r="C50" s="107"/>
      <c r="D50" s="27" t="s">
        <v>74</v>
      </c>
      <c r="E50" s="35">
        <v>1</v>
      </c>
      <c r="F50" s="36">
        <v>0</v>
      </c>
      <c r="G50" s="37">
        <f t="shared" si="42"/>
        <v>1</v>
      </c>
      <c r="H50" s="38" t="s">
        <v>36</v>
      </c>
      <c r="I50" s="19">
        <f>4.66*7*38</f>
        <v>1239.5600000000002</v>
      </c>
      <c r="J50" s="19">
        <f t="shared" si="48"/>
        <v>1239.5600000000002</v>
      </c>
      <c r="K50" s="31">
        <f>0.08*7*3</f>
        <v>1.6800000000000002</v>
      </c>
      <c r="L50" s="19">
        <f t="shared" si="44"/>
        <v>76</v>
      </c>
      <c r="M50" s="32">
        <f t="shared" si="45"/>
        <v>1.6800000000000002</v>
      </c>
      <c r="N50" s="11">
        <f t="shared" si="46"/>
        <v>127.68</v>
      </c>
      <c r="O50" s="11">
        <f t="shared" si="47"/>
        <v>1367.2400000000002</v>
      </c>
      <c r="P50" s="54"/>
      <c r="Q50" s="39"/>
      <c r="R50" s="39"/>
      <c r="U50" s="41"/>
    </row>
    <row r="51" spans="1:21" s="40" customFormat="1">
      <c r="A51" s="33"/>
      <c r="B51" s="78"/>
      <c r="C51" s="107"/>
      <c r="D51" s="27"/>
      <c r="E51" s="35"/>
      <c r="F51" s="36"/>
      <c r="G51" s="37"/>
      <c r="H51" s="38"/>
      <c r="I51" s="19"/>
      <c r="J51" s="19"/>
      <c r="K51" s="31"/>
      <c r="L51" s="19"/>
      <c r="M51" s="32"/>
      <c r="N51" s="11"/>
      <c r="O51" s="11"/>
      <c r="P51" s="54"/>
      <c r="Q51" s="39"/>
      <c r="R51" s="39"/>
      <c r="U51" s="41"/>
    </row>
    <row r="52" spans="1:21" s="40" customFormat="1">
      <c r="A52" s="33">
        <f>IF(H52&lt;&gt;"",1+MAX($A$5:A50),"")</f>
        <v>34</v>
      </c>
      <c r="B52" s="78"/>
      <c r="C52" s="107"/>
      <c r="D52" s="93" t="s">
        <v>75</v>
      </c>
      <c r="E52" s="35">
        <v>99</v>
      </c>
      <c r="F52" s="36">
        <v>0</v>
      </c>
      <c r="G52" s="37">
        <f>(1+F52)*E52</f>
        <v>99</v>
      </c>
      <c r="H52" s="38" t="s">
        <v>27</v>
      </c>
      <c r="I52" s="19"/>
      <c r="J52" s="19"/>
      <c r="K52" s="31"/>
      <c r="L52" s="19"/>
      <c r="M52" s="32"/>
      <c r="N52" s="11"/>
      <c r="O52" s="11"/>
      <c r="P52" s="54"/>
      <c r="Q52" s="39"/>
      <c r="R52" s="39"/>
      <c r="U52" s="41"/>
    </row>
    <row r="53" spans="1:21" s="40" customFormat="1">
      <c r="A53" s="33">
        <f>IF(H53&lt;&gt;"",1+MAX($A$5:A52),"")</f>
        <v>35</v>
      </c>
      <c r="B53" s="78"/>
      <c r="C53" s="107"/>
      <c r="D53" s="27" t="s">
        <v>76</v>
      </c>
      <c r="E53" s="35">
        <v>1</v>
      </c>
      <c r="F53" s="36">
        <v>0</v>
      </c>
      <c r="G53" s="37">
        <f>(1+F53)*E53</f>
        <v>1</v>
      </c>
      <c r="H53" s="38" t="s">
        <v>36</v>
      </c>
      <c r="I53" s="19">
        <f>18*14.33*38</f>
        <v>9801.7199999999993</v>
      </c>
      <c r="J53" s="19">
        <f t="shared" ref="J53:J56" si="49">I53*G53</f>
        <v>9801.7199999999993</v>
      </c>
      <c r="K53" s="31">
        <f>0.08*18*14.33</f>
        <v>20.635200000000001</v>
      </c>
      <c r="L53" s="19">
        <f t="shared" ref="L53:L56" si="50">$O$6</f>
        <v>76</v>
      </c>
      <c r="M53" s="32">
        <f t="shared" ref="M53:M56" si="51">K53*G53</f>
        <v>20.635200000000001</v>
      </c>
      <c r="N53" s="11">
        <f t="shared" ref="N53:N56" si="52">M53*L53</f>
        <v>1568.2752</v>
      </c>
      <c r="O53" s="11">
        <f t="shared" ref="O53:O56" si="53">N53+J53</f>
        <v>11369.995199999999</v>
      </c>
      <c r="P53" s="54"/>
      <c r="Q53" s="39"/>
      <c r="R53" s="39"/>
      <c r="U53" s="41"/>
    </row>
    <row r="54" spans="1:21" s="40" customFormat="1">
      <c r="A54" s="33">
        <f>IF(H54&lt;&gt;"",1+MAX($A$5:A53),"")</f>
        <v>36</v>
      </c>
      <c r="B54" s="78"/>
      <c r="C54" s="107"/>
      <c r="D54" s="27" t="s">
        <v>77</v>
      </c>
      <c r="E54" s="35">
        <v>2</v>
      </c>
      <c r="F54" s="36">
        <v>0</v>
      </c>
      <c r="G54" s="37">
        <f>(1+F54)*E54</f>
        <v>2</v>
      </c>
      <c r="H54" s="38" t="s">
        <v>36</v>
      </c>
      <c r="I54" s="19">
        <f>2.66*10*38</f>
        <v>1010.8000000000001</v>
      </c>
      <c r="J54" s="19">
        <f t="shared" si="49"/>
        <v>2021.6000000000001</v>
      </c>
      <c r="K54" s="31">
        <f>0.08*2.66*10</f>
        <v>2.1280000000000001</v>
      </c>
      <c r="L54" s="19">
        <f t="shared" si="50"/>
        <v>76</v>
      </c>
      <c r="M54" s="32">
        <f t="shared" si="51"/>
        <v>4.2560000000000002</v>
      </c>
      <c r="N54" s="11">
        <f t="shared" si="52"/>
        <v>323.45600000000002</v>
      </c>
      <c r="O54" s="11">
        <f t="shared" si="53"/>
        <v>2345.056</v>
      </c>
      <c r="P54" s="54"/>
      <c r="Q54" s="39"/>
      <c r="R54" s="39"/>
      <c r="U54" s="41"/>
    </row>
    <row r="55" spans="1:21" s="40" customFormat="1">
      <c r="A55" s="33">
        <f>IF(H55&lt;&gt;"",1+MAX($A$5:A54),"")</f>
        <v>37</v>
      </c>
      <c r="B55" s="78"/>
      <c r="C55" s="107"/>
      <c r="D55" s="27" t="s">
        <v>78</v>
      </c>
      <c r="E55" s="35">
        <v>2</v>
      </c>
      <c r="F55" s="36">
        <v>0</v>
      </c>
      <c r="G55" s="37">
        <f>(1+F55)*E55</f>
        <v>2</v>
      </c>
      <c r="H55" s="38" t="s">
        <v>36</v>
      </c>
      <c r="I55" s="19">
        <f>2.66*4*38</f>
        <v>404.32000000000005</v>
      </c>
      <c r="J55" s="19">
        <f t="shared" si="49"/>
        <v>808.6400000000001</v>
      </c>
      <c r="K55" s="31">
        <f>0.08*2.6*4</f>
        <v>0.83200000000000007</v>
      </c>
      <c r="L55" s="19">
        <f t="shared" si="50"/>
        <v>76</v>
      </c>
      <c r="M55" s="32">
        <f t="shared" si="51"/>
        <v>1.6640000000000001</v>
      </c>
      <c r="N55" s="11">
        <f t="shared" si="52"/>
        <v>126.46400000000001</v>
      </c>
      <c r="O55" s="11">
        <f t="shared" si="53"/>
        <v>935.10400000000016</v>
      </c>
      <c r="P55" s="54"/>
      <c r="Q55" s="39"/>
      <c r="R55" s="39"/>
      <c r="U55" s="41"/>
    </row>
    <row r="56" spans="1:21" s="40" customFormat="1">
      <c r="A56" s="33">
        <f>IF(H56&lt;&gt;"",1+MAX($A$5:A55),"")</f>
        <v>38</v>
      </c>
      <c r="B56" s="78"/>
      <c r="C56" s="107"/>
      <c r="D56" s="27" t="s">
        <v>79</v>
      </c>
      <c r="E56" s="35">
        <v>1</v>
      </c>
      <c r="F56" s="36">
        <v>0</v>
      </c>
      <c r="G56" s="37">
        <f>(1+F56)*E56</f>
        <v>1</v>
      </c>
      <c r="H56" s="38" t="s">
        <v>36</v>
      </c>
      <c r="I56" s="19">
        <f>2*12*40</f>
        <v>960</v>
      </c>
      <c r="J56" s="19">
        <f t="shared" si="49"/>
        <v>960</v>
      </c>
      <c r="K56" s="31">
        <f>0.08*2*12</f>
        <v>1.92</v>
      </c>
      <c r="L56" s="19">
        <f t="shared" si="50"/>
        <v>76</v>
      </c>
      <c r="M56" s="32">
        <f t="shared" si="51"/>
        <v>1.92</v>
      </c>
      <c r="N56" s="11">
        <f t="shared" si="52"/>
        <v>145.91999999999999</v>
      </c>
      <c r="O56" s="11">
        <f t="shared" si="53"/>
        <v>1105.92</v>
      </c>
      <c r="P56" s="54"/>
      <c r="Q56" s="39"/>
      <c r="R56" s="39"/>
      <c r="U56" s="41"/>
    </row>
    <row r="57" spans="1:21" s="40" customFormat="1">
      <c r="A57" s="33" t="str">
        <f>IF(H57&lt;&gt;"",1+MAX($A$5:A56),"")</f>
        <v/>
      </c>
      <c r="B57" s="78"/>
      <c r="C57" s="107"/>
      <c r="D57" s="27"/>
      <c r="E57" s="35"/>
      <c r="F57" s="36"/>
      <c r="G57" s="37"/>
      <c r="H57" s="38"/>
      <c r="I57" s="19"/>
      <c r="J57" s="19"/>
      <c r="K57" s="31"/>
      <c r="L57" s="19"/>
      <c r="M57" s="32"/>
      <c r="N57" s="11"/>
      <c r="O57" s="11"/>
      <c r="P57" s="54"/>
      <c r="Q57" s="39"/>
      <c r="R57" s="39"/>
      <c r="U57" s="41"/>
    </row>
    <row r="58" spans="1:21" s="40" customFormat="1">
      <c r="A58" s="33" t="str">
        <f>IF(H58&lt;&gt;"",1+MAX($A$5:A57),"")</f>
        <v/>
      </c>
      <c r="B58" s="78"/>
      <c r="C58" s="107"/>
      <c r="D58" s="74" t="s">
        <v>37</v>
      </c>
      <c r="E58" s="35"/>
      <c r="F58" s="36"/>
      <c r="G58" s="37"/>
      <c r="H58" s="38"/>
      <c r="I58" s="19"/>
      <c r="J58" s="19"/>
      <c r="K58" s="31"/>
      <c r="L58" s="19"/>
      <c r="M58" s="32"/>
      <c r="N58" s="11"/>
      <c r="O58" s="11"/>
      <c r="P58" s="54"/>
      <c r="Q58" s="39"/>
      <c r="R58" s="39"/>
      <c r="U58" s="41"/>
    </row>
    <row r="59" spans="1:21" s="40" customFormat="1" ht="31.2">
      <c r="A59" s="33">
        <f>IF(H59&lt;&gt;"",1+MAX($A$5:A58),"")</f>
        <v>39</v>
      </c>
      <c r="B59" s="78"/>
      <c r="C59" s="107"/>
      <c r="D59" s="27" t="s">
        <v>80</v>
      </c>
      <c r="E59" s="35">
        <v>1</v>
      </c>
      <c r="F59" s="36">
        <v>0</v>
      </c>
      <c r="G59" s="37">
        <f t="shared" ref="G59:G66" si="54">(1+F59)*E59</f>
        <v>1</v>
      </c>
      <c r="H59" s="38" t="s">
        <v>36</v>
      </c>
      <c r="I59" s="19">
        <f>12.33*12*40</f>
        <v>5918.4000000000005</v>
      </c>
      <c r="J59" s="19">
        <f t="shared" ref="J59:J66" si="55">I59*G59</f>
        <v>5918.4000000000005</v>
      </c>
      <c r="K59" s="31">
        <f>0.08*12.33*12</f>
        <v>11.8368</v>
      </c>
      <c r="L59" s="19">
        <f t="shared" ref="L59:L66" si="56">$O$6</f>
        <v>76</v>
      </c>
      <c r="M59" s="32">
        <f t="shared" ref="M59:M66" si="57">K59*G59</f>
        <v>11.8368</v>
      </c>
      <c r="N59" s="11">
        <f t="shared" ref="N59:N66" si="58">M59*L59</f>
        <v>899.59680000000003</v>
      </c>
      <c r="O59" s="11">
        <f t="shared" ref="O59:O66" si="59">N59+J59</f>
        <v>6817.9968000000008</v>
      </c>
      <c r="P59" s="54"/>
      <c r="Q59" s="39"/>
      <c r="R59" s="39"/>
      <c r="U59" s="41"/>
    </row>
    <row r="60" spans="1:21" s="40" customFormat="1" ht="31.2">
      <c r="A60" s="33">
        <f>IF(H60&lt;&gt;"",1+MAX($A$5:A59),"")</f>
        <v>40</v>
      </c>
      <c r="B60" s="78"/>
      <c r="C60" s="107"/>
      <c r="D60" s="27" t="s">
        <v>81</v>
      </c>
      <c r="E60" s="35">
        <v>1</v>
      </c>
      <c r="F60" s="36">
        <v>0</v>
      </c>
      <c r="G60" s="37">
        <f t="shared" si="54"/>
        <v>1</v>
      </c>
      <c r="H60" s="38" t="s">
        <v>36</v>
      </c>
      <c r="I60" s="19">
        <f>12.33*12.8*40</f>
        <v>6312.9600000000009</v>
      </c>
      <c r="J60" s="19">
        <f t="shared" si="55"/>
        <v>6312.9600000000009</v>
      </c>
      <c r="K60" s="31">
        <f>0.08*12.33*12.8</f>
        <v>12.625920000000001</v>
      </c>
      <c r="L60" s="19">
        <f t="shared" si="56"/>
        <v>76</v>
      </c>
      <c r="M60" s="32">
        <f t="shared" si="57"/>
        <v>12.625920000000001</v>
      </c>
      <c r="N60" s="11">
        <f t="shared" si="58"/>
        <v>959.56992000000002</v>
      </c>
      <c r="O60" s="11">
        <f t="shared" si="59"/>
        <v>7272.5299200000009</v>
      </c>
      <c r="P60" s="54"/>
      <c r="Q60" s="39"/>
      <c r="R60" s="39"/>
      <c r="U60" s="41"/>
    </row>
    <row r="61" spans="1:21" s="40" customFormat="1" ht="31.2">
      <c r="A61" s="33">
        <f>IF(H61&lt;&gt;"",1+MAX($A$5:A60),"")</f>
        <v>41</v>
      </c>
      <c r="B61" s="78"/>
      <c r="C61" s="107"/>
      <c r="D61" s="27" t="s">
        <v>82</v>
      </c>
      <c r="E61" s="35">
        <v>1</v>
      </c>
      <c r="F61" s="36">
        <v>0</v>
      </c>
      <c r="G61" s="37">
        <f t="shared" si="54"/>
        <v>1</v>
      </c>
      <c r="H61" s="38" t="s">
        <v>36</v>
      </c>
      <c r="I61" s="19">
        <f>12.33*12*40</f>
        <v>5918.4000000000005</v>
      </c>
      <c r="J61" s="19">
        <f t="shared" ref="J61:J62" si="60">I61*G61</f>
        <v>5918.4000000000005</v>
      </c>
      <c r="K61" s="31">
        <f>0.08*12.33*12</f>
        <v>11.8368</v>
      </c>
      <c r="L61" s="19">
        <f t="shared" si="56"/>
        <v>76</v>
      </c>
      <c r="M61" s="32">
        <f t="shared" si="57"/>
        <v>11.8368</v>
      </c>
      <c r="N61" s="11">
        <f t="shared" si="58"/>
        <v>899.59680000000003</v>
      </c>
      <c r="O61" s="11">
        <f t="shared" si="59"/>
        <v>6817.9968000000008</v>
      </c>
      <c r="P61" s="54"/>
      <c r="Q61" s="39"/>
      <c r="R61" s="39"/>
      <c r="U61" s="41"/>
    </row>
    <row r="62" spans="1:21" s="40" customFormat="1" ht="31.2">
      <c r="A62" s="33">
        <f>IF(H62&lt;&gt;"",1+MAX($A$5:A61),"")</f>
        <v>42</v>
      </c>
      <c r="B62" s="78"/>
      <c r="C62" s="107"/>
      <c r="D62" s="27" t="s">
        <v>83</v>
      </c>
      <c r="E62" s="35">
        <v>1</v>
      </c>
      <c r="F62" s="36">
        <v>0</v>
      </c>
      <c r="G62" s="37">
        <f t="shared" si="54"/>
        <v>1</v>
      </c>
      <c r="H62" s="38" t="s">
        <v>36</v>
      </c>
      <c r="I62" s="19">
        <f>12.33*12.8*40</f>
        <v>6312.9600000000009</v>
      </c>
      <c r="J62" s="19">
        <f t="shared" si="60"/>
        <v>6312.9600000000009</v>
      </c>
      <c r="K62" s="31">
        <f>0.08*12.33*12.8</f>
        <v>12.625920000000001</v>
      </c>
      <c r="L62" s="19">
        <f t="shared" si="56"/>
        <v>76</v>
      </c>
      <c r="M62" s="32">
        <f t="shared" si="57"/>
        <v>12.625920000000001</v>
      </c>
      <c r="N62" s="11">
        <f t="shared" si="58"/>
        <v>959.56992000000002</v>
      </c>
      <c r="O62" s="11">
        <f t="shared" si="59"/>
        <v>7272.5299200000009</v>
      </c>
      <c r="P62" s="54"/>
      <c r="Q62" s="39"/>
      <c r="R62" s="39"/>
      <c r="U62" s="41"/>
    </row>
    <row r="63" spans="1:21" s="40" customFormat="1" ht="31.2">
      <c r="A63" s="33">
        <f>IF(H63&lt;&gt;"",1+MAX($A$5:A62),"")</f>
        <v>43</v>
      </c>
      <c r="B63" s="78"/>
      <c r="C63" s="107"/>
      <c r="D63" s="27" t="s">
        <v>84</v>
      </c>
      <c r="E63" s="35">
        <v>1</v>
      </c>
      <c r="F63" s="36">
        <v>0</v>
      </c>
      <c r="G63" s="37">
        <f t="shared" si="54"/>
        <v>1</v>
      </c>
      <c r="H63" s="38" t="s">
        <v>36</v>
      </c>
      <c r="I63" s="19">
        <f>3*7.2*40</f>
        <v>864</v>
      </c>
      <c r="J63" s="19">
        <f t="shared" si="55"/>
        <v>864</v>
      </c>
      <c r="K63" s="31">
        <f>0.08*3*7.2</f>
        <v>1.728</v>
      </c>
      <c r="L63" s="19">
        <f t="shared" si="56"/>
        <v>76</v>
      </c>
      <c r="M63" s="32">
        <f t="shared" si="57"/>
        <v>1.728</v>
      </c>
      <c r="N63" s="11">
        <f t="shared" si="58"/>
        <v>131.328</v>
      </c>
      <c r="O63" s="11">
        <f t="shared" si="59"/>
        <v>995.32799999999997</v>
      </c>
      <c r="P63" s="54"/>
      <c r="Q63" s="39"/>
      <c r="R63" s="39"/>
      <c r="U63" s="41"/>
    </row>
    <row r="64" spans="1:21" s="40" customFormat="1" ht="31.2">
      <c r="A64" s="33">
        <f>IF(H64&lt;&gt;"",1+MAX($A$5:A63),"")</f>
        <v>44</v>
      </c>
      <c r="B64" s="78"/>
      <c r="C64" s="107"/>
      <c r="D64" s="27" t="s">
        <v>85</v>
      </c>
      <c r="E64" s="35">
        <v>1</v>
      </c>
      <c r="F64" s="36">
        <v>0</v>
      </c>
      <c r="G64" s="37">
        <f t="shared" si="54"/>
        <v>1</v>
      </c>
      <c r="H64" s="38" t="s">
        <v>36</v>
      </c>
      <c r="I64" s="19">
        <f>3*7.2*40</f>
        <v>864</v>
      </c>
      <c r="J64" s="19">
        <f t="shared" si="55"/>
        <v>864</v>
      </c>
      <c r="K64" s="31">
        <f>0.08*3*7.2</f>
        <v>1.728</v>
      </c>
      <c r="L64" s="19">
        <f t="shared" si="56"/>
        <v>76</v>
      </c>
      <c r="M64" s="32">
        <f t="shared" si="57"/>
        <v>1.728</v>
      </c>
      <c r="N64" s="11">
        <f t="shared" si="58"/>
        <v>131.328</v>
      </c>
      <c r="O64" s="11">
        <f t="shared" si="59"/>
        <v>995.32799999999997</v>
      </c>
      <c r="P64" s="54"/>
      <c r="Q64" s="39"/>
      <c r="R64" s="39"/>
      <c r="U64" s="41"/>
    </row>
    <row r="65" spans="1:21" s="40" customFormat="1" ht="31.2">
      <c r="A65" s="33">
        <f>IF(H65&lt;&gt;"",1+MAX($A$5:A64),"")</f>
        <v>45</v>
      </c>
      <c r="B65" s="78"/>
      <c r="C65" s="107"/>
      <c r="D65" s="27" t="s">
        <v>86</v>
      </c>
      <c r="E65" s="35">
        <v>1</v>
      </c>
      <c r="F65" s="36">
        <v>0</v>
      </c>
      <c r="G65" s="37">
        <f t="shared" si="54"/>
        <v>1</v>
      </c>
      <c r="H65" s="38" t="s">
        <v>36</v>
      </c>
      <c r="I65" s="19">
        <f>3*7.2*40</f>
        <v>864</v>
      </c>
      <c r="J65" s="19">
        <f t="shared" si="55"/>
        <v>864</v>
      </c>
      <c r="K65" s="31">
        <f>0.08*3*7.2</f>
        <v>1.728</v>
      </c>
      <c r="L65" s="19">
        <f t="shared" si="56"/>
        <v>76</v>
      </c>
      <c r="M65" s="32">
        <f t="shared" si="57"/>
        <v>1.728</v>
      </c>
      <c r="N65" s="11">
        <f t="shared" si="58"/>
        <v>131.328</v>
      </c>
      <c r="O65" s="11">
        <f t="shared" si="59"/>
        <v>995.32799999999997</v>
      </c>
      <c r="P65" s="54"/>
      <c r="Q65" s="39"/>
      <c r="R65" s="39"/>
      <c r="U65" s="41"/>
    </row>
    <row r="66" spans="1:21" s="40" customFormat="1" ht="31.2">
      <c r="A66" s="33">
        <f>IF(H66&lt;&gt;"",1+MAX($A$5:A65),"")</f>
        <v>46</v>
      </c>
      <c r="B66" s="78"/>
      <c r="C66" s="107"/>
      <c r="D66" s="27" t="s">
        <v>87</v>
      </c>
      <c r="E66" s="35">
        <v>1</v>
      </c>
      <c r="F66" s="36">
        <v>0</v>
      </c>
      <c r="G66" s="37">
        <f t="shared" si="54"/>
        <v>1</v>
      </c>
      <c r="H66" s="38" t="s">
        <v>36</v>
      </c>
      <c r="I66" s="19">
        <f>3*7.2*40</f>
        <v>864</v>
      </c>
      <c r="J66" s="19">
        <f t="shared" si="55"/>
        <v>864</v>
      </c>
      <c r="K66" s="31">
        <f>0.08*3*7.2</f>
        <v>1.728</v>
      </c>
      <c r="L66" s="19">
        <f t="shared" si="56"/>
        <v>76</v>
      </c>
      <c r="M66" s="32">
        <f t="shared" si="57"/>
        <v>1.728</v>
      </c>
      <c r="N66" s="11">
        <f t="shared" si="58"/>
        <v>131.328</v>
      </c>
      <c r="O66" s="11">
        <f t="shared" si="59"/>
        <v>995.32799999999997</v>
      </c>
      <c r="P66" s="54"/>
      <c r="Q66" s="39"/>
      <c r="R66" s="39"/>
      <c r="U66" s="41"/>
    </row>
    <row r="67" spans="1:21" s="40" customFormat="1">
      <c r="A67" s="33" t="str">
        <f>IF(H67&lt;&gt;"",1+MAX($A$5:A66),"")</f>
        <v/>
      </c>
      <c r="B67" s="78"/>
      <c r="C67" s="107"/>
      <c r="D67" s="27"/>
      <c r="E67" s="35"/>
      <c r="F67" s="36"/>
      <c r="G67" s="37"/>
      <c r="H67" s="38"/>
      <c r="I67" s="19"/>
      <c r="J67" s="19"/>
      <c r="K67" s="31"/>
      <c r="L67" s="19"/>
      <c r="M67" s="32"/>
      <c r="N67" s="11"/>
      <c r="O67" s="11"/>
      <c r="P67" s="54"/>
      <c r="Q67" s="39"/>
      <c r="R67" s="39"/>
      <c r="U67" s="41"/>
    </row>
    <row r="68" spans="1:21" s="40" customFormat="1">
      <c r="A68" s="33" t="str">
        <f>IF(H68&lt;&gt;"",1+MAX($A$5:A67),"")</f>
        <v/>
      </c>
      <c r="B68" s="78"/>
      <c r="C68" s="107"/>
      <c r="D68" s="74" t="s">
        <v>88</v>
      </c>
      <c r="E68" s="35"/>
      <c r="F68" s="36"/>
      <c r="G68" s="37"/>
      <c r="H68" s="38"/>
      <c r="I68" s="19"/>
      <c r="J68" s="19"/>
      <c r="K68" s="31"/>
      <c r="L68" s="19"/>
      <c r="M68" s="32"/>
      <c r="N68" s="11"/>
      <c r="O68" s="11"/>
      <c r="P68" s="54"/>
      <c r="Q68" s="39"/>
      <c r="R68" s="39"/>
      <c r="U68" s="41"/>
    </row>
    <row r="69" spans="1:21" s="40" customFormat="1">
      <c r="A69" s="33" t="str">
        <f>IF(H69&lt;&gt;"",1+MAX($A$5:A68),"")</f>
        <v/>
      </c>
      <c r="B69" s="78"/>
      <c r="C69" s="107"/>
      <c r="D69" s="27" t="s">
        <v>89</v>
      </c>
      <c r="E69" s="35" t="s">
        <v>90</v>
      </c>
      <c r="F69" s="36"/>
      <c r="G69" s="37"/>
      <c r="H69" s="38"/>
      <c r="I69" s="19"/>
      <c r="J69" s="19"/>
      <c r="K69" s="31"/>
      <c r="L69" s="19"/>
      <c r="M69" s="32"/>
      <c r="N69" s="11"/>
      <c r="O69" s="11"/>
      <c r="P69" s="54"/>
      <c r="Q69" s="39"/>
      <c r="R69" s="39"/>
      <c r="U69" s="41"/>
    </row>
    <row r="70" spans="1:21" s="40" customFormat="1">
      <c r="A70" s="33">
        <f>IF(H70&lt;&gt;"",1+MAX($A$5:A69),"")</f>
        <v>47</v>
      </c>
      <c r="B70" s="78"/>
      <c r="C70" s="107"/>
      <c r="D70" s="94" t="s">
        <v>91</v>
      </c>
      <c r="E70" s="35">
        <v>12</v>
      </c>
      <c r="F70" s="36">
        <v>0</v>
      </c>
      <c r="G70" s="37">
        <f t="shared" ref="G70:G77" si="61">(1+F70)*E70</f>
        <v>12</v>
      </c>
      <c r="H70" s="38" t="s">
        <v>36</v>
      </c>
      <c r="I70" s="19">
        <v>18.399999999999999</v>
      </c>
      <c r="J70" s="19">
        <f t="shared" ref="J70:J77" si="62">I70*G70</f>
        <v>220.79999999999998</v>
      </c>
      <c r="K70" s="31">
        <v>0.4</v>
      </c>
      <c r="L70" s="19">
        <f t="shared" ref="L70:L77" si="63">$O$6</f>
        <v>76</v>
      </c>
      <c r="M70" s="32">
        <f t="shared" ref="M70:M77" si="64">K70*G70</f>
        <v>4.8000000000000007</v>
      </c>
      <c r="N70" s="11">
        <f t="shared" ref="N70:N77" si="65">M70*L70</f>
        <v>364.80000000000007</v>
      </c>
      <c r="O70" s="11">
        <f t="shared" ref="O70:O77" si="66">N70+J70</f>
        <v>585.6</v>
      </c>
      <c r="P70" s="54"/>
      <c r="Q70" s="39"/>
      <c r="R70" s="39"/>
      <c r="U70" s="41"/>
    </row>
    <row r="71" spans="1:21" s="40" customFormat="1">
      <c r="A71" s="33">
        <f>IF(H71&lt;&gt;"",1+MAX($A$5:A70),"")</f>
        <v>48</v>
      </c>
      <c r="B71" s="78"/>
      <c r="C71" s="107"/>
      <c r="D71" s="94" t="s">
        <v>92</v>
      </c>
      <c r="E71" s="35">
        <v>4</v>
      </c>
      <c r="F71" s="36">
        <v>0</v>
      </c>
      <c r="G71" s="37">
        <f t="shared" si="61"/>
        <v>4</v>
      </c>
      <c r="H71" s="38" t="s">
        <v>36</v>
      </c>
      <c r="I71" s="19">
        <v>221</v>
      </c>
      <c r="J71" s="19">
        <f t="shared" si="62"/>
        <v>884</v>
      </c>
      <c r="K71" s="31">
        <v>1.2</v>
      </c>
      <c r="L71" s="19">
        <f t="shared" si="63"/>
        <v>76</v>
      </c>
      <c r="M71" s="32">
        <f t="shared" si="64"/>
        <v>4.8</v>
      </c>
      <c r="N71" s="11">
        <f t="shared" si="65"/>
        <v>364.8</v>
      </c>
      <c r="O71" s="11">
        <f t="shared" si="66"/>
        <v>1248.8</v>
      </c>
      <c r="P71" s="54"/>
      <c r="Q71" s="39"/>
      <c r="R71" s="39"/>
      <c r="U71" s="41"/>
    </row>
    <row r="72" spans="1:21" s="40" customFormat="1">
      <c r="A72" s="33">
        <f>IF(H72&lt;&gt;"",1+MAX($A$5:A71),"")</f>
        <v>49</v>
      </c>
      <c r="B72" s="78"/>
      <c r="C72" s="107"/>
      <c r="D72" s="94" t="s">
        <v>93</v>
      </c>
      <c r="E72" s="35">
        <v>4</v>
      </c>
      <c r="F72" s="36">
        <v>0</v>
      </c>
      <c r="G72" s="37">
        <f t="shared" si="61"/>
        <v>4</v>
      </c>
      <c r="H72" s="38" t="s">
        <v>36</v>
      </c>
      <c r="I72" s="19">
        <v>576</v>
      </c>
      <c r="J72" s="19">
        <f t="shared" si="62"/>
        <v>2304</v>
      </c>
      <c r="K72" s="31">
        <v>2</v>
      </c>
      <c r="L72" s="19">
        <f t="shared" si="63"/>
        <v>76</v>
      </c>
      <c r="M72" s="32">
        <f t="shared" si="64"/>
        <v>8</v>
      </c>
      <c r="N72" s="11">
        <f t="shared" si="65"/>
        <v>608</v>
      </c>
      <c r="O72" s="11">
        <f t="shared" si="66"/>
        <v>2912</v>
      </c>
      <c r="P72" s="54"/>
      <c r="Q72" s="39"/>
      <c r="R72" s="39"/>
      <c r="U72" s="41"/>
    </row>
    <row r="73" spans="1:21" s="40" customFormat="1">
      <c r="A73" s="33">
        <f>IF(H73&lt;&gt;"",1+MAX($A$5:A72),"")</f>
        <v>50</v>
      </c>
      <c r="B73" s="78"/>
      <c r="C73" s="107"/>
      <c r="D73" s="94" t="s">
        <v>94</v>
      </c>
      <c r="E73" s="35">
        <v>12</v>
      </c>
      <c r="F73" s="36">
        <v>0</v>
      </c>
      <c r="G73" s="37">
        <f t="shared" si="61"/>
        <v>12</v>
      </c>
      <c r="H73" s="38" t="s">
        <v>36</v>
      </c>
      <c r="I73" s="19">
        <v>13.4</v>
      </c>
      <c r="J73" s="19">
        <f t="shared" si="62"/>
        <v>160.80000000000001</v>
      </c>
      <c r="K73" s="31">
        <v>0.4</v>
      </c>
      <c r="L73" s="19">
        <f t="shared" si="63"/>
        <v>76</v>
      </c>
      <c r="M73" s="32">
        <f t="shared" si="64"/>
        <v>4.8000000000000007</v>
      </c>
      <c r="N73" s="11">
        <f t="shared" si="65"/>
        <v>364.80000000000007</v>
      </c>
      <c r="O73" s="11">
        <f t="shared" si="66"/>
        <v>525.60000000000014</v>
      </c>
      <c r="P73" s="54"/>
      <c r="Q73" s="39"/>
      <c r="R73" s="39"/>
      <c r="U73" s="41"/>
    </row>
    <row r="74" spans="1:21" s="40" customFormat="1">
      <c r="A74" s="33">
        <f>IF(H74&lt;&gt;"",1+MAX($A$5:A73),"")</f>
        <v>51</v>
      </c>
      <c r="B74" s="78"/>
      <c r="C74" s="107"/>
      <c r="D74" s="94" t="s">
        <v>95</v>
      </c>
      <c r="E74" s="35">
        <v>4</v>
      </c>
      <c r="F74" s="36">
        <v>0</v>
      </c>
      <c r="G74" s="37">
        <f t="shared" si="61"/>
        <v>4</v>
      </c>
      <c r="H74" s="38" t="s">
        <v>36</v>
      </c>
      <c r="I74" s="19">
        <v>114</v>
      </c>
      <c r="J74" s="19">
        <f t="shared" si="62"/>
        <v>456</v>
      </c>
      <c r="K74" s="31">
        <v>1</v>
      </c>
      <c r="L74" s="19">
        <f t="shared" si="63"/>
        <v>76</v>
      </c>
      <c r="M74" s="32">
        <f t="shared" si="64"/>
        <v>4</v>
      </c>
      <c r="N74" s="11">
        <f t="shared" si="65"/>
        <v>304</v>
      </c>
      <c r="O74" s="11">
        <f t="shared" si="66"/>
        <v>760</v>
      </c>
      <c r="P74" s="54"/>
      <c r="Q74" s="39"/>
      <c r="R74" s="39"/>
      <c r="U74" s="41"/>
    </row>
    <row r="75" spans="1:21" s="40" customFormat="1">
      <c r="A75" s="33">
        <f>IF(H75&lt;&gt;"",1+MAX($A$5:A74),"")</f>
        <v>52</v>
      </c>
      <c r="B75" s="78"/>
      <c r="C75" s="107"/>
      <c r="D75" s="94" t="s">
        <v>96</v>
      </c>
      <c r="E75" s="35">
        <v>4</v>
      </c>
      <c r="F75" s="36">
        <v>0</v>
      </c>
      <c r="G75" s="37">
        <f t="shared" si="61"/>
        <v>4</v>
      </c>
      <c r="H75" s="38" t="s">
        <v>36</v>
      </c>
      <c r="I75" s="19">
        <v>43.4</v>
      </c>
      <c r="J75" s="19">
        <f t="shared" si="62"/>
        <v>173.6</v>
      </c>
      <c r="K75" s="31">
        <v>0.4</v>
      </c>
      <c r="L75" s="19">
        <f t="shared" si="63"/>
        <v>76</v>
      </c>
      <c r="M75" s="32">
        <f t="shared" si="64"/>
        <v>1.6</v>
      </c>
      <c r="N75" s="11">
        <f t="shared" si="65"/>
        <v>121.60000000000001</v>
      </c>
      <c r="O75" s="11">
        <f t="shared" si="66"/>
        <v>295.2</v>
      </c>
      <c r="P75" s="54"/>
      <c r="Q75" s="39"/>
      <c r="R75" s="39"/>
      <c r="U75" s="41"/>
    </row>
    <row r="76" spans="1:21" s="40" customFormat="1">
      <c r="A76" s="33">
        <f>IF(H76&lt;&gt;"",1+MAX($A$5:A75),"")</f>
        <v>53</v>
      </c>
      <c r="B76" s="78"/>
      <c r="C76" s="107"/>
      <c r="D76" s="94" t="s">
        <v>97</v>
      </c>
      <c r="E76" s="35">
        <v>4</v>
      </c>
      <c r="F76" s="36">
        <v>0</v>
      </c>
      <c r="G76" s="37">
        <f t="shared" si="61"/>
        <v>4</v>
      </c>
      <c r="H76" s="38" t="s">
        <v>36</v>
      </c>
      <c r="I76" s="19">
        <v>24.5</v>
      </c>
      <c r="J76" s="19">
        <f t="shared" si="62"/>
        <v>98</v>
      </c>
      <c r="K76" s="31">
        <v>0.54</v>
      </c>
      <c r="L76" s="19">
        <f t="shared" si="63"/>
        <v>76</v>
      </c>
      <c r="M76" s="32">
        <f t="shared" si="64"/>
        <v>2.16</v>
      </c>
      <c r="N76" s="11">
        <f t="shared" si="65"/>
        <v>164.16000000000003</v>
      </c>
      <c r="O76" s="11">
        <f t="shared" si="66"/>
        <v>262.16000000000003</v>
      </c>
      <c r="P76" s="54"/>
      <c r="Q76" s="39"/>
      <c r="R76" s="39"/>
      <c r="U76" s="41"/>
    </row>
    <row r="77" spans="1:21" s="40" customFormat="1">
      <c r="A77" s="33">
        <f>IF(H77&lt;&gt;"",1+MAX($A$5:A76),"")</f>
        <v>54</v>
      </c>
      <c r="B77" s="78"/>
      <c r="C77" s="107"/>
      <c r="D77" s="94" t="s">
        <v>98</v>
      </c>
      <c r="E77" s="35">
        <v>4</v>
      </c>
      <c r="F77" s="36">
        <v>0</v>
      </c>
      <c r="G77" s="37">
        <f t="shared" si="61"/>
        <v>4</v>
      </c>
      <c r="H77" s="38" t="s">
        <v>36</v>
      </c>
      <c r="I77" s="19">
        <v>36.700000000000003</v>
      </c>
      <c r="J77" s="19">
        <f t="shared" si="62"/>
        <v>146.80000000000001</v>
      </c>
      <c r="K77" s="31">
        <v>0.5</v>
      </c>
      <c r="L77" s="19">
        <f t="shared" si="63"/>
        <v>76</v>
      </c>
      <c r="M77" s="32">
        <f t="shared" si="64"/>
        <v>2</v>
      </c>
      <c r="N77" s="11">
        <f t="shared" si="65"/>
        <v>152</v>
      </c>
      <c r="O77" s="11">
        <f t="shared" si="66"/>
        <v>298.8</v>
      </c>
      <c r="P77" s="54"/>
      <c r="Q77" s="39"/>
      <c r="R77" s="39"/>
      <c r="U77" s="41"/>
    </row>
    <row r="78" spans="1:21" s="40" customFormat="1">
      <c r="A78" s="33" t="str">
        <f>IF(H78&lt;&gt;"",1+MAX($A$5:A77),"")</f>
        <v/>
      </c>
      <c r="B78" s="78"/>
      <c r="C78" s="106"/>
      <c r="D78" s="27"/>
      <c r="E78" s="35"/>
      <c r="F78" s="36"/>
      <c r="G78" s="37"/>
      <c r="H78" s="38"/>
      <c r="I78" s="19"/>
      <c r="J78" s="19"/>
      <c r="K78" s="31"/>
      <c r="L78" s="19"/>
      <c r="M78" s="32"/>
      <c r="N78" s="11"/>
      <c r="O78" s="11"/>
      <c r="P78" s="54"/>
      <c r="Q78" s="39"/>
      <c r="R78" s="39"/>
      <c r="U78" s="41"/>
    </row>
    <row r="79" spans="1:21" s="3" customFormat="1">
      <c r="A79" s="33" t="str">
        <f>IF(H79&lt;&gt;"",1+MAX($A$5:A78),"")</f>
        <v/>
      </c>
      <c r="B79" s="77"/>
      <c r="C79" s="69"/>
      <c r="D79" s="27"/>
      <c r="E79" s="23"/>
      <c r="F79" s="10"/>
      <c r="G79" s="22"/>
      <c r="H79" s="24"/>
      <c r="I79" s="19"/>
      <c r="J79" s="19"/>
      <c r="K79" s="31"/>
      <c r="L79" s="19"/>
      <c r="M79" s="32"/>
      <c r="N79" s="11"/>
      <c r="O79" s="11"/>
      <c r="P79" s="54"/>
      <c r="Q79" s="2"/>
      <c r="R79" s="2"/>
      <c r="U79" s="14"/>
    </row>
    <row r="80" spans="1:21" s="3" customFormat="1">
      <c r="A80" s="30"/>
      <c r="B80" s="77"/>
      <c r="C80" s="69"/>
      <c r="D80" s="64"/>
      <c r="E80" s="26"/>
      <c r="F80" s="10"/>
      <c r="G80" s="22"/>
      <c r="H80" s="25"/>
      <c r="I80" s="19"/>
      <c r="J80" s="19"/>
      <c r="K80" s="19"/>
      <c r="L80" s="82" t="s">
        <v>20</v>
      </c>
      <c r="M80" s="83">
        <f>SUM(M5:M78)</f>
        <v>383.41590400000013</v>
      </c>
      <c r="N80" s="11"/>
      <c r="O80" s="11"/>
      <c r="P80" s="54"/>
      <c r="Q80" s="2"/>
      <c r="R80" s="2"/>
      <c r="U80" s="14"/>
    </row>
    <row r="81" spans="1:16" ht="16.2" thickBot="1">
      <c r="A81" s="28"/>
      <c r="B81" s="59" t="s">
        <v>21</v>
      </c>
      <c r="C81" s="43"/>
      <c r="D81" s="65"/>
      <c r="E81" s="42"/>
      <c r="F81" s="43"/>
      <c r="G81" s="43"/>
      <c r="H81" s="44"/>
      <c r="I81" s="44"/>
      <c r="J81" s="44"/>
      <c r="K81" s="44"/>
      <c r="L81" s="34"/>
      <c r="M81" s="34"/>
      <c r="N81" s="45"/>
      <c r="O81" s="55"/>
      <c r="P81" s="56">
        <f>SUM(P5:P78)</f>
        <v>193893.01910400001</v>
      </c>
    </row>
    <row r="82" spans="1:16" ht="16.8" thickTop="1" thickBot="1">
      <c r="A82" s="28"/>
      <c r="B82" s="60" t="s">
        <v>22</v>
      </c>
      <c r="C82" s="65"/>
      <c r="D82" s="65"/>
      <c r="E82" s="42"/>
      <c r="F82" s="43"/>
      <c r="G82" s="43"/>
      <c r="H82" s="44"/>
      <c r="I82" s="44"/>
      <c r="J82" s="44"/>
      <c r="K82" s="44"/>
      <c r="L82" s="44"/>
      <c r="M82" s="44"/>
      <c r="N82" s="46">
        <v>0.06</v>
      </c>
      <c r="O82" s="47"/>
      <c r="P82" s="57">
        <f>P81*N82</f>
        <v>11633.58114624</v>
      </c>
    </row>
    <row r="83" spans="1:16" ht="16.8" thickTop="1" thickBot="1">
      <c r="A83" s="28"/>
      <c r="B83" s="60" t="s">
        <v>23</v>
      </c>
      <c r="C83" s="65"/>
      <c r="D83" s="65"/>
      <c r="E83" s="42"/>
      <c r="F83" s="43"/>
      <c r="G83" s="43"/>
      <c r="H83" s="44"/>
      <c r="I83" s="44"/>
      <c r="J83" s="44"/>
      <c r="K83" s="44"/>
      <c r="L83" s="44"/>
      <c r="M83" s="44"/>
      <c r="N83" s="48">
        <v>0.25</v>
      </c>
      <c r="O83" s="47"/>
      <c r="P83" s="57">
        <f>P81*N83</f>
        <v>48473.254776000002</v>
      </c>
    </row>
    <row r="84" spans="1:16" ht="16.8" thickTop="1" thickBot="1">
      <c r="A84" s="28"/>
      <c r="B84" s="61" t="s">
        <v>24</v>
      </c>
      <c r="C84" s="66"/>
      <c r="D84" s="66"/>
      <c r="E84" s="49"/>
      <c r="F84" s="50"/>
      <c r="G84" s="50"/>
      <c r="H84" s="51"/>
      <c r="I84" s="51"/>
      <c r="J84" s="51"/>
      <c r="K84" s="51"/>
      <c r="L84" s="51"/>
      <c r="M84" s="51"/>
      <c r="N84" s="52"/>
      <c r="O84" s="53"/>
      <c r="P84" s="58">
        <f>SUM(P81:P83)</f>
        <v>253999.85502623999</v>
      </c>
    </row>
    <row r="85" spans="1:16" ht="16.2" thickTop="1">
      <c r="A85" s="84"/>
      <c r="B85" s="85"/>
      <c r="C85" s="85"/>
      <c r="D85" s="86"/>
      <c r="E85" s="87"/>
      <c r="F85" s="88"/>
      <c r="G85" s="88"/>
      <c r="H85" s="89"/>
      <c r="I85" s="89"/>
      <c r="J85" s="89"/>
      <c r="K85" s="89"/>
      <c r="L85" s="89"/>
      <c r="M85" s="89"/>
      <c r="N85" s="90"/>
      <c r="O85" s="91"/>
      <c r="P85" s="92"/>
    </row>
    <row r="86" spans="1:16" ht="18" customHeight="1">
      <c r="A86" s="121" t="s">
        <v>28</v>
      </c>
      <c r="B86" s="122"/>
      <c r="C86" s="122"/>
      <c r="D86" s="122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3"/>
    </row>
    <row r="87" spans="1:16">
      <c r="A87" s="118" t="s">
        <v>29</v>
      </c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20"/>
    </row>
    <row r="88" spans="1:16">
      <c r="A88" s="118" t="s">
        <v>30</v>
      </c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20"/>
    </row>
    <row r="89" spans="1:16">
      <c r="A89" s="118" t="s">
        <v>34</v>
      </c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20"/>
    </row>
    <row r="90" spans="1:16">
      <c r="A90" s="118" t="s">
        <v>31</v>
      </c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20"/>
    </row>
    <row r="91" spans="1:16">
      <c r="A91" s="118" t="s">
        <v>33</v>
      </c>
      <c r="B91" s="119"/>
      <c r="C91" s="119"/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20"/>
    </row>
    <row r="92" spans="1:16">
      <c r="A92" s="118" t="s">
        <v>32</v>
      </c>
      <c r="B92" s="119"/>
      <c r="C92" s="119"/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20"/>
    </row>
  </sheetData>
  <mergeCells count="16">
    <mergeCell ref="A90:P90"/>
    <mergeCell ref="A86:P86"/>
    <mergeCell ref="A91:P91"/>
    <mergeCell ref="A92:P92"/>
    <mergeCell ref="A87:P87"/>
    <mergeCell ref="A88:P88"/>
    <mergeCell ref="A89:P89"/>
    <mergeCell ref="C7:C77"/>
    <mergeCell ref="P2:P3"/>
    <mergeCell ref="A1:B1"/>
    <mergeCell ref="A2:B2"/>
    <mergeCell ref="A3:B3"/>
    <mergeCell ref="D1:N1"/>
    <mergeCell ref="D2:N2"/>
    <mergeCell ref="D3:N3"/>
    <mergeCell ref="O2:O3"/>
  </mergeCells>
  <printOptions horizontalCentered="1"/>
  <pageMargins left="0.43307086614173201" right="0.43307086614173201" top="0.39370078740157499" bottom="0.39370078740157499" header="0.196850393700787" footer="0.196850393700787"/>
  <pageSetup scale="27" fitToHeight="0" orientation="portrait" r:id="rId1"/>
  <headerFooter>
    <oddFooter>&amp;C&amp;P of &amp;N</oddFooter>
  </headerFooter>
  <ignoredErrors>
    <ignoredError sqref="B6:N6 A5:C5 R5:XFD5 E5:O5 P6 R6:XFD6 I60:I61 K60:K61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S w i f t T o k e n s   x m l n s : x s i = " h t t p : / / w w w . w 3 . o r g / 2 0 0 1 / X M L S c h e m a - i n s t a n c e "   x m l n s : x s d = " h t t p : / / w w w . w 3 . o r g / 2 0 0 1 / X M L S c h e m a " > < T o k e n s / > < / S w i f t T o k e n s > 
</file>

<file path=customXml/itemProps1.xml><?xml version="1.0" encoding="utf-8"?>
<ds:datastoreItem xmlns:ds="http://schemas.openxmlformats.org/officeDocument/2006/customXml" ds:itemID="{0CD95880-FC79-4076-B15C-0C2CD887AC2F}">
  <ds:schemaRefs>
    <ds:schemaRef ds:uri="http://www.w3.org/2001/XMLSchem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Estimate Statement</vt:lpstr>
      <vt:lpstr>'Estimate Statement'!Print_Area</vt:lpstr>
      <vt:lpstr>'Estimate Statement'!Print_Titles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2013-07-08T09:36:48Z</dcterms:created>
  <dcterms:modified xsi:type="dcterms:W3CDTF">2023-09-27T14:59:16Z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  <property fmtid="{D5CDD505-2E9C-101B-9397-08002B2CF9AE}" pid="3" name="PlanSwiftJobName">
    <vt:lpwstr/>
  </property>
  <property fmtid="{D5CDD505-2E9C-101B-9397-08002B2CF9AE}" pid="4" name="PlanSwiftJobGuid">
    <vt:lpwstr/>
  </property>
  <property fmtid="{D5CDD505-2E9C-101B-9397-08002B2CF9AE}" pid="5" name="LinkedDataId">
    <vt:lpwstr>{0CD95880-FC79-4076-B15C-0C2CD887AC2F}</vt:lpwstr>
  </property>
</Properties>
</file>