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CB31EBE4-BB3F-4C90-8E86-B45DD058AF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te Statement" sheetId="11" r:id="rId1"/>
  </sheets>
  <definedNames>
    <definedName name="_xlnm._FilterDatabase" localSheetId="0" hidden="1">'Estimate Statement'!#REF!</definedName>
    <definedName name="_xlnm.Print_Area" localSheetId="0">'Estimate Statement'!$A$1:$P$82</definedName>
    <definedName name="_xlnm.Print_Titles" localSheetId="0">'Estimate Statement'!$4:$4</definedName>
  </definedNames>
  <calcPr calcId="181029"/>
</workbook>
</file>

<file path=xl/calcChain.xml><?xml version="1.0" encoding="utf-8"?>
<calcChain xmlns="http://schemas.openxmlformats.org/spreadsheetml/2006/main">
  <c r="K60" i="11" l="1"/>
  <c r="I60" i="11"/>
  <c r="K59" i="11"/>
  <c r="I59" i="11"/>
  <c r="K48" i="11"/>
  <c r="I48" i="11"/>
  <c r="K47" i="11"/>
  <c r="I47" i="11"/>
  <c r="K35" i="11"/>
  <c r="I35" i="11"/>
  <c r="K34" i="11"/>
  <c r="I34" i="11"/>
  <c r="K33" i="11"/>
  <c r="I33" i="11"/>
  <c r="K32" i="11"/>
  <c r="I32" i="11"/>
  <c r="K31" i="11"/>
  <c r="I31" i="11"/>
  <c r="K15" i="11"/>
  <c r="I15" i="11"/>
  <c r="K14" i="11"/>
  <c r="K13" i="11"/>
  <c r="I13" i="11"/>
  <c r="I12" i="11"/>
  <c r="K11" i="11"/>
  <c r="K10" i="11"/>
  <c r="I10" i="11"/>
  <c r="K9" i="11"/>
  <c r="I9" i="11"/>
  <c r="A68" i="11" l="1"/>
  <c r="A62" i="11"/>
  <c r="A61" i="11"/>
  <c r="A58" i="11"/>
  <c r="A57" i="11"/>
  <c r="A50" i="11"/>
  <c r="A49" i="11"/>
  <c r="A45" i="11"/>
  <c r="A37" i="11"/>
  <c r="A36" i="11"/>
  <c r="A29" i="11"/>
  <c r="A17" i="11"/>
  <c r="A16" i="11"/>
  <c r="A7" i="11"/>
  <c r="L67" i="11"/>
  <c r="L66" i="11"/>
  <c r="L65" i="11"/>
  <c r="L64" i="11"/>
  <c r="L63" i="11"/>
  <c r="L60" i="11"/>
  <c r="L59" i="11"/>
  <c r="L56" i="11"/>
  <c r="L55" i="11"/>
  <c r="M54" i="11"/>
  <c r="L54" i="11"/>
  <c r="L53" i="11"/>
  <c r="L52" i="11"/>
  <c r="L51" i="11"/>
  <c r="L48" i="11"/>
  <c r="L47" i="11"/>
  <c r="L44" i="11"/>
  <c r="L43" i="11"/>
  <c r="L42" i="11"/>
  <c r="M41" i="11"/>
  <c r="L41" i="11"/>
  <c r="L40" i="11"/>
  <c r="L39" i="11"/>
  <c r="L38" i="11"/>
  <c r="L35" i="11"/>
  <c r="M34" i="11"/>
  <c r="N34" i="11" s="1"/>
  <c r="L34" i="11"/>
  <c r="L33" i="11"/>
  <c r="L32" i="11"/>
  <c r="L31" i="11"/>
  <c r="L28" i="11"/>
  <c r="L27" i="11"/>
  <c r="L26" i="11"/>
  <c r="L25" i="11"/>
  <c r="L24" i="11"/>
  <c r="L23" i="11"/>
  <c r="J23" i="11"/>
  <c r="L22" i="11"/>
  <c r="L21" i="11"/>
  <c r="L20" i="11"/>
  <c r="L19" i="11"/>
  <c r="L18" i="11"/>
  <c r="L10" i="11"/>
  <c r="L11" i="11"/>
  <c r="L12" i="11"/>
  <c r="L13" i="11"/>
  <c r="L14" i="11"/>
  <c r="L15" i="11"/>
  <c r="L9" i="11"/>
  <c r="G67" i="11"/>
  <c r="J67" i="11" s="1"/>
  <c r="G66" i="11"/>
  <c r="J66" i="11" s="1"/>
  <c r="G65" i="11"/>
  <c r="J65" i="11" s="1"/>
  <c r="G64" i="11"/>
  <c r="J64" i="11" s="1"/>
  <c r="G63" i="11"/>
  <c r="G60" i="11"/>
  <c r="M60" i="11" s="1"/>
  <c r="G59" i="11"/>
  <c r="M59" i="11" s="1"/>
  <c r="N59" i="11" s="1"/>
  <c r="G56" i="11"/>
  <c r="M56" i="11" s="1"/>
  <c r="G55" i="11"/>
  <c r="J55" i="11" s="1"/>
  <c r="G54" i="11"/>
  <c r="J54" i="11" s="1"/>
  <c r="G53" i="11"/>
  <c r="M53" i="11" s="1"/>
  <c r="N53" i="11" s="1"/>
  <c r="G52" i="11"/>
  <c r="J52" i="11" s="1"/>
  <c r="G51" i="11"/>
  <c r="M51" i="11" s="1"/>
  <c r="G48" i="11"/>
  <c r="M48" i="11" s="1"/>
  <c r="G47" i="11"/>
  <c r="M47" i="11" s="1"/>
  <c r="N47" i="11" s="1"/>
  <c r="G44" i="11"/>
  <c r="J44" i="11" s="1"/>
  <c r="G43" i="11"/>
  <c r="J43" i="11" s="1"/>
  <c r="G42" i="11"/>
  <c r="M42" i="11" s="1"/>
  <c r="N42" i="11" s="1"/>
  <c r="G41" i="11"/>
  <c r="J41" i="11" s="1"/>
  <c r="G40" i="11"/>
  <c r="G39" i="11"/>
  <c r="G38" i="11"/>
  <c r="J38" i="11" s="1"/>
  <c r="G35" i="11"/>
  <c r="J35" i="11" s="1"/>
  <c r="G34" i="11"/>
  <c r="J34" i="11" s="1"/>
  <c r="G33" i="11"/>
  <c r="M33" i="11" s="1"/>
  <c r="G32" i="11"/>
  <c r="M32" i="11" s="1"/>
  <c r="G31" i="11"/>
  <c r="J31" i="11" s="1"/>
  <c r="G28" i="11"/>
  <c r="J28" i="11" s="1"/>
  <c r="G27" i="11"/>
  <c r="M27" i="11" s="1"/>
  <c r="G26" i="11"/>
  <c r="J26" i="11" s="1"/>
  <c r="G25" i="11"/>
  <c r="M25" i="11" s="1"/>
  <c r="N25" i="11" s="1"/>
  <c r="G24" i="11"/>
  <c r="M24" i="11" s="1"/>
  <c r="N24" i="11" s="1"/>
  <c r="G23" i="11"/>
  <c r="M23" i="11" s="1"/>
  <c r="N23" i="11" s="1"/>
  <c r="G22" i="11"/>
  <c r="J22" i="11" s="1"/>
  <c r="G21" i="11"/>
  <c r="M21" i="11" s="1"/>
  <c r="G20" i="11"/>
  <c r="M20" i="11" s="1"/>
  <c r="G19" i="11"/>
  <c r="J19" i="11" s="1"/>
  <c r="G18" i="11"/>
  <c r="M18" i="11" s="1"/>
  <c r="N18" i="11" s="1"/>
  <c r="G15" i="11"/>
  <c r="J15" i="11" s="1"/>
  <c r="G14" i="11"/>
  <c r="J14" i="11" s="1"/>
  <c r="G13" i="11"/>
  <c r="J13" i="11" s="1"/>
  <c r="G12" i="11"/>
  <c r="M12" i="11" s="1"/>
  <c r="G11" i="11"/>
  <c r="J11" i="11" s="1"/>
  <c r="G10" i="11"/>
  <c r="M10" i="11" s="1"/>
  <c r="N10" i="11" s="1"/>
  <c r="G9" i="11"/>
  <c r="M9" i="11" s="1"/>
  <c r="N9" i="11" s="1"/>
  <c r="J47" i="11" l="1"/>
  <c r="O47" i="11" s="1"/>
  <c r="M39" i="11"/>
  <c r="N39" i="11" s="1"/>
  <c r="J39" i="11"/>
  <c r="N60" i="11"/>
  <c r="M22" i="11"/>
  <c r="N22" i="11" s="1"/>
  <c r="O22" i="11" s="1"/>
  <c r="M26" i="11"/>
  <c r="N26" i="11" s="1"/>
  <c r="O26" i="11" s="1"/>
  <c r="J60" i="11"/>
  <c r="M67" i="11"/>
  <c r="M40" i="11"/>
  <c r="N40" i="11" s="1"/>
  <c r="J40" i="11"/>
  <c r="J42" i="11"/>
  <c r="J12" i="11"/>
  <c r="M19" i="11"/>
  <c r="M35" i="11"/>
  <c r="N35" i="11" s="1"/>
  <c r="O35" i="11" s="1"/>
  <c r="M55" i="11"/>
  <c r="N55" i="11" s="1"/>
  <c r="O55" i="11" s="1"/>
  <c r="M63" i="11"/>
  <c r="N63" i="11" s="1"/>
  <c r="J63" i="11"/>
  <c r="M11" i="11"/>
  <c r="J20" i="11"/>
  <c r="J25" i="11"/>
  <c r="M31" i="11"/>
  <c r="N31" i="11" s="1"/>
  <c r="O31" i="11" s="1"/>
  <c r="M52" i="11"/>
  <c r="N52" i="11" s="1"/>
  <c r="O52" i="11" s="1"/>
  <c r="J56" i="11"/>
  <c r="J32" i="11"/>
  <c r="M38" i="11"/>
  <c r="J53" i="11"/>
  <c r="M44" i="11"/>
  <c r="M66" i="11"/>
  <c r="N66" i="11" s="1"/>
  <c r="O66" i="11" s="1"/>
  <c r="N12" i="11"/>
  <c r="O12" i="11" s="1"/>
  <c r="N41" i="11"/>
  <c r="O41" i="11" s="1"/>
  <c r="N32" i="11"/>
  <c r="O32" i="11" s="1"/>
  <c r="N48" i="11"/>
  <c r="N33" i="11"/>
  <c r="N51" i="11"/>
  <c r="O51" i="11" s="1"/>
  <c r="N54" i="11"/>
  <c r="O54" i="11" s="1"/>
  <c r="N27" i="11"/>
  <c r="N20" i="11"/>
  <c r="O20" i="11" s="1"/>
  <c r="N44" i="11"/>
  <c r="O44" i="11" s="1"/>
  <c r="N56" i="11"/>
  <c r="N21" i="11"/>
  <c r="O53" i="11"/>
  <c r="O42" i="11"/>
  <c r="O25" i="11"/>
  <c r="O23" i="11"/>
  <c r="M14" i="11"/>
  <c r="N14" i="11" s="1"/>
  <c r="O14" i="11" s="1"/>
  <c r="J10" i="11"/>
  <c r="O10" i="11" s="1"/>
  <c r="J21" i="11"/>
  <c r="O40" i="11"/>
  <c r="J51" i="11"/>
  <c r="M15" i="11"/>
  <c r="N15" i="11" s="1"/>
  <c r="O15" i="11" s="1"/>
  <c r="O34" i="11"/>
  <c r="M43" i="11"/>
  <c r="N43" i="11" s="1"/>
  <c r="O43" i="11" s="1"/>
  <c r="N11" i="11"/>
  <c r="O11" i="11" s="1"/>
  <c r="N67" i="11"/>
  <c r="O67" i="11" s="1"/>
  <c r="J18" i="11"/>
  <c r="O18" i="11" s="1"/>
  <c r="M28" i="11"/>
  <c r="N28" i="11" s="1"/>
  <c r="O28" i="11" s="1"/>
  <c r="M65" i="11"/>
  <c r="N65" i="11" s="1"/>
  <c r="O65" i="11" s="1"/>
  <c r="O63" i="11"/>
  <c r="J27" i="11"/>
  <c r="O27" i="11" s="1"/>
  <c r="J33" i="11"/>
  <c r="O33" i="11" s="1"/>
  <c r="N38" i="11"/>
  <c r="O38" i="11" s="1"/>
  <c r="J48" i="11"/>
  <c r="O48" i="11" s="1"/>
  <c r="J9" i="11"/>
  <c r="O9" i="11" s="1"/>
  <c r="M13" i="11"/>
  <c r="N13" i="11" s="1"/>
  <c r="O13" i="11" s="1"/>
  <c r="J24" i="11"/>
  <c r="O24" i="11" s="1"/>
  <c r="O39" i="11"/>
  <c r="J59" i="11"/>
  <c r="O59" i="11" s="1"/>
  <c r="M64" i="11"/>
  <c r="N64" i="11" s="1"/>
  <c r="O64" i="11" s="1"/>
  <c r="N19" i="11"/>
  <c r="O19" i="11" s="1"/>
  <c r="A6" i="11"/>
  <c r="O60" i="11" l="1"/>
  <c r="O56" i="11"/>
  <c r="O21" i="11"/>
  <c r="P5" i="11" s="1"/>
  <c r="P71" i="11" s="1"/>
  <c r="M70" i="11"/>
  <c r="A5" i="11" l="1"/>
  <c r="A8" i="11" l="1"/>
  <c r="A9" i="11" s="1"/>
  <c r="A10" i="11" s="1"/>
  <c r="A69" i="11"/>
  <c r="A11" i="11" l="1"/>
  <c r="A12" i="11" s="1"/>
  <c r="A13" i="11" l="1"/>
  <c r="A14" i="11"/>
  <c r="A15" i="11" l="1"/>
  <c r="A18" i="11" s="1"/>
  <c r="A19" i="11" s="1"/>
  <c r="P73" i="11"/>
  <c r="P72" i="11"/>
  <c r="A20" i="11" l="1"/>
  <c r="A21" i="11" s="1"/>
  <c r="A22" i="11" s="1"/>
  <c r="A23" i="11" s="1"/>
  <c r="A24" i="11" s="1"/>
  <c r="P74" i="11"/>
  <c r="P2" i="11" s="1"/>
  <c r="A25" i="11" l="1"/>
  <c r="A26" i="11" s="1"/>
  <c r="A27" i="11" s="1"/>
  <c r="A28" i="11" s="1"/>
  <c r="A30" i="11" s="1"/>
  <c r="A31" i="11" s="1"/>
  <c r="A32" i="11" s="1"/>
  <c r="A33" i="11" s="1"/>
  <c r="A34" i="11" s="1"/>
  <c r="A35" i="11" s="1"/>
  <c r="A38" i="11" s="1"/>
  <c r="A39" i="11" s="1"/>
  <c r="A40" i="11" s="1"/>
  <c r="A41" i="11" s="1"/>
  <c r="A42" i="11" s="1"/>
  <c r="A43" i="11" s="1"/>
  <c r="A44" i="11" s="1"/>
  <c r="A46" i="11" s="1"/>
  <c r="A47" i="11" s="1"/>
  <c r="A48" i="11" s="1"/>
  <c r="A51" i="11" s="1"/>
  <c r="A52" i="11" s="1"/>
  <c r="A53" i="11" s="1"/>
  <c r="A54" i="11" s="1"/>
  <c r="A55" i="11" s="1"/>
  <c r="A56" i="11" s="1"/>
  <c r="A59" i="11" s="1"/>
  <c r="A60" i="11" s="1"/>
  <c r="A63" i="11" s="1"/>
  <c r="A64" i="11" s="1"/>
  <c r="A65" i="11" s="1"/>
  <c r="A66" i="11" s="1"/>
  <c r="A67" i="11" s="1"/>
</calcChain>
</file>

<file path=xl/sharedStrings.xml><?xml version="1.0" encoding="utf-8"?>
<sst xmlns="http://schemas.openxmlformats.org/spreadsheetml/2006/main" count="140" uniqueCount="83">
  <si>
    <t>Summary</t>
  </si>
  <si>
    <t>Amount</t>
  </si>
  <si>
    <t>TOTAL ITEM COST</t>
  </si>
  <si>
    <t>LF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</si>
  <si>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</si>
  <si>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</si>
  <si>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</si>
  <si>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</si>
  <si>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</si>
  <si>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</si>
  <si>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</si>
  <si>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</si>
  <si>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</si>
  <si>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</si>
  <si>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</si>
  <si>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</si>
  <si>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</si>
  <si>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</si>
  <si>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</si>
  <si>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</si>
  <si>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</si>
  <si>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Total Labor Hrs.</t>
  </si>
  <si>
    <t xml:space="preserve">Trades Total </t>
  </si>
  <si>
    <t>Material Tax</t>
  </si>
  <si>
    <t>OH&amp;P</t>
  </si>
  <si>
    <t>TOTALS</t>
  </si>
  <si>
    <t>TOTAL COST</t>
  </si>
  <si>
    <t>Drawing Ref.</t>
  </si>
  <si>
    <t>SF</t>
  </si>
  <si>
    <t>Notes for Clients</t>
  </si>
  <si>
    <t>THIS EXCEL STATEMENT IS EDITABLE AND CAN BE MODIFIED AS REQUIRED.</t>
  </si>
  <si>
    <t>CHANGE IN PERCENTAGES WILL CHANGE THE AMOUNT REFLECTING OF RESPECTIVE HEAD.</t>
  </si>
  <si>
    <t>PRICES OF LABOR AND MATERIALS ARE TAKEN FROM ONLINE MARKET RESOURCES AND CAN DIFFER FROM LOCAL VENDOR/SUPPLIER, RESPECTED CLIENTS ARE ADVISED TO DOUBLE CHECK TO MAKE SURE THE BID IS COMPETITIVE.</t>
  </si>
  <si>
    <t>SEPARATE PERMIT SHALL BE REQUIRED FOR SIGNS, FENCES, MOUNTED YARD LIGHTING FOUNDATIONS, HVAC UNITS, AND PLANTERS AS PER THE CITY NOTES.</t>
  </si>
  <si>
    <t>GENERAL REQUIREMENTS AND TEMPORARY SERVICES FEE AND TAX COST NEEDS TO BE ADDED.</t>
  </si>
  <si>
    <t>INSURANCE PERCENTAGES NEEDS TO BE ADDED.</t>
  </si>
  <si>
    <t>A100, A-103, A104, A-401, A601, A-700, A-701, A-800, A-802</t>
  </si>
  <si>
    <t>STOREFRONT AND GLAZING</t>
  </si>
  <si>
    <t>17'-8" X 10'-0" Storefront @ Exterior</t>
  </si>
  <si>
    <t>Door Tag: 100, Size: (2) 3'-0" X 7'-0"  PAIR OF EXTRUDED ALUMINUM PRE-HUNG OUTSWING Glass Double Door</t>
  </si>
  <si>
    <t>EA</t>
  </si>
  <si>
    <t>5'-8" X 7'-0" Glazing Panel With GL-2: 1/2" Clear Tempered Glass With Frame</t>
  </si>
  <si>
    <t>5'-9" X 7'-0" Sidelight Glazing Panel With GL-2: 1/2" Clear Tempered Glass With Frame</t>
  </si>
  <si>
    <t>6'-0" X 7'-0" Sidelight Glazing Panel With GL-2: 1/2" Clear Tempered Glass With Frame</t>
  </si>
  <si>
    <t>5'-8" X 3'-0" Transom Glazing Panel With GL-2: 1/2" Clear Tempered Glass With Frame</t>
  </si>
  <si>
    <t>5'-9" X 3'-0" Transom Glazing Panel With GL-2: 1/2" Clear Tempered Glass With Frame</t>
  </si>
  <si>
    <t>6'-0" X 3'-0" Sidelight Glazing Panel With GL-2: 1/2" Clear Tempered Glass With Frame</t>
  </si>
  <si>
    <t>Hardware Set: #1A</t>
  </si>
  <si>
    <t>Weatherstrip: Silicone Strips Secured In Extruded Ports; Double Rows On Door Panel</t>
  </si>
  <si>
    <t>4.5" Mckinney Mpb68 Steel Hinge</t>
  </si>
  <si>
    <t>(1) Corbin Russwin Offset Pull P12 Trim On Exterior Side</t>
  </si>
  <si>
    <t>(1) Corbin Russwin Offset Pull P13 Trim On Interior Side</t>
  </si>
  <si>
    <t>Lock: Adams Rite 3080-01-3U Entry Function, Fey Operated Lever Trim For Outside Operation.</t>
  </si>
  <si>
    <t>Lock: Adam Rite 8600Narrow Stile Concealed Vertical Rod Exit Device On Interior Side</t>
  </si>
  <si>
    <t>Strike: Standard Strike</t>
  </si>
  <si>
    <t>Closer: Norton 1601 Heavy Duty Door Closer Finish: Aluminum</t>
  </si>
  <si>
    <t>Doorstop: Mckinney Fs05 Finish: 626-Satin Chromium</t>
  </si>
  <si>
    <t>Threshold: 2006Stcxq380 Pemko Threshold</t>
  </si>
  <si>
    <t>Privacy Film On Glazing Panels</t>
  </si>
  <si>
    <t>17'-8" X 10'-0" Storefront @ Vestibule</t>
  </si>
  <si>
    <t>Door Tag: 101, Size: (2) 3'-0" X 7'-0"  PAIR OF EXTRUDED ALUMINUM PRE-HUNG OUTSWING Glass Double Door</t>
  </si>
  <si>
    <t>2'-6" X 10'-0" Sidelight With GL-2: 1/2" Clear Tempered Glass Sidelight, 6" X 4'-0" Band Of Etched Glass With Plant Fitness Logo</t>
  </si>
  <si>
    <t>2'-10" X 10'-0" Sidelight With GL-2: 1/2" Clear Tempered Glass Sidelight, 6" X 4'-0" Band Of Etched Glass With Plant Fitness Logo</t>
  </si>
  <si>
    <t>3'-8" X 10'-0" Sidelight With GL-2: 1/2" Clear Tempered Glass Sidelight, 6" X 4'-0" Band Of Etched Glass With Plant Fitness Logo</t>
  </si>
  <si>
    <t>6'-0" X 3'-0" Transom With GL-2: 1/2" Clear Tempered Glass Sidelight, 6" X 4'-0" Band Of Etched Glass With Plant Fitness Logo</t>
  </si>
  <si>
    <t>Hardware Set: #1B</t>
  </si>
  <si>
    <t>Closer: Corbin Russwin Dc3000Top Jamb (Push Side) Mounted On Interior Side G.C. To Set.</t>
  </si>
  <si>
    <t>14'-0" X 8'-0" Storefront @ Black Card Spa</t>
  </si>
  <si>
    <t>Door Tag: 103, Size: (2) 3'-0" X 8'-0", Material: Frameless Glass Double Door</t>
  </si>
  <si>
    <t>4'-0" X 8'-0" Sidelight With GL-1, 1/2" Clear Tempered Glass Sidelight, 6" X 4'-0" Band Of Etched Glass With Plant Fitness Logo</t>
  </si>
  <si>
    <t>Hardware Set: #5</t>
  </si>
  <si>
    <t>Top Channel: 1-1/4" X 1-3/4" U-Channel</t>
  </si>
  <si>
    <t>Bottom Rails:  Dorma 4" High, Square Drs Railsystem With Insert For Door Closer And Pivot. Finish: #101, Clear Anaodized Aluminium.</t>
  </si>
  <si>
    <t>Top Patch Fittings: Dorma 2" X 6 1/2" Square Universal Pt-20 Top Patch With Safety Insert For Top Pivot. Finish: Clear Anodized Aluminum</t>
  </si>
  <si>
    <t>Bottom Patch Fittings: Dorma 2" X 6 1/2" Square Universal Pt-10 Bottom Patch With Insert For Closer And Pivot. Finish: Clear Anodized Aluminum.</t>
  </si>
  <si>
    <t>Concealed Closer With Hold-Open, One Dorma Rts88 Series Overhead-Concealed Door Closer. Finish: #689 Aluminum. Adjust Closing Speed And Hold-Open Points As Required.</t>
  </si>
  <si>
    <t>(1) Pair 49" High X 1-3/8" Diameter Dorma #Tg-138 Non-Locking Ladder Pull Handles Offset 3" From Edge Of Door Leaf And Centered Vertically.</t>
  </si>
  <si>
    <t>DOORS AND FRAMES</t>
  </si>
  <si>
    <t>Door Tag: 103D, Size: 3'-0" X 7'-0", Material: Frameless Glass , Gl-1: 1/2" Glass Door</t>
  </si>
  <si>
    <t>Door Tag: 103H, Size: 3'-0" X 7'-0", Material: Frameless Glass , Gl-1: 1/2" Glass Door</t>
  </si>
  <si>
    <t>Div. Sub Code</t>
  </si>
  <si>
    <t>DIV.08 OPENINGS</t>
  </si>
  <si>
    <t>Planet Fitness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</si>
</sst>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0.0%"/>
    <numFmt numFmtId="174" formatCode="_(&quot;$&quot;* #,##0_);_(&quot;$&quot;* \(#,##0\);_(&quot;$&quot;* &quot;-&quot;??_);_(@_)"/>
  </numFmts>
  <fonts count="6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63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6"/>
      <color theme="1"/>
      <name val="Adobe Gothic Std B"/>
      <family val="2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5" applyNumberFormat="0" applyAlignment="0" applyProtection="0"/>
    <xf numFmtId="0" fontId="48" fillId="30" borderId="16" applyNumberFormat="0" applyAlignment="0" applyProtection="0"/>
    <xf numFmtId="0" fontId="49" fillId="30" borderId="15" applyNumberFormat="0" applyAlignment="0" applyProtection="0"/>
    <xf numFmtId="0" fontId="50" fillId="0" borderId="17" applyNumberFormat="0" applyFill="0" applyAlignment="0" applyProtection="0"/>
    <xf numFmtId="0" fontId="51" fillId="31" borderId="18" applyNumberFormat="0" applyAlignment="0" applyProtection="0"/>
    <xf numFmtId="0" fontId="52" fillId="0" borderId="0" applyNumberFormat="0" applyFill="0" applyBorder="0" applyAlignment="0" applyProtection="0"/>
    <xf numFmtId="0" fontId="7" fillId="32" borderId="1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5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59" fillId="0" borderId="0" applyFont="0" applyFill="0" applyBorder="0" applyAlignment="0" applyProtection="0"/>
  </cellStyleXfs>
  <cellXfs count="129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Alignment="1">
      <alignment vertical="center"/>
    </xf>
    <xf numFmtId="0" fontId="31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36" fillId="0" borderId="0" xfId="45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" fontId="56" fillId="0" borderId="0" xfId="100" applyNumberFormat="1" applyFont="1" applyAlignment="1">
      <alignment horizontal="right" vertical="center"/>
    </xf>
    <xf numFmtId="0" fontId="56" fillId="0" borderId="0" xfId="102" applyFont="1" applyAlignment="1">
      <alignment horizontal="center" vertical="center"/>
    </xf>
    <xf numFmtId="0" fontId="56" fillId="0" borderId="0" xfId="97" applyFont="1" applyAlignment="1">
      <alignment horizontal="center" vertical="center"/>
    </xf>
    <xf numFmtId="1" fontId="56" fillId="0" borderId="0" xfId="98" applyNumberFormat="1" applyFont="1" applyAlignment="1">
      <alignment horizontal="right" vertical="center"/>
    </xf>
    <xf numFmtId="0" fontId="56" fillId="0" borderId="0" xfId="102" applyFont="1" applyAlignment="1">
      <alignment wrapText="1"/>
    </xf>
    <xf numFmtId="0" fontId="39" fillId="0" borderId="22" xfId="41" applyFont="1" applyFill="1" applyBorder="1" applyAlignment="1">
      <alignment vertical="top" wrapText="1"/>
    </xf>
    <xf numFmtId="169" fontId="32" fillId="25" borderId="23" xfId="38" applyNumberFormat="1" applyFont="1" applyFill="1" applyBorder="1" applyAlignment="1" applyProtection="1">
      <alignment horizontal="left" vertical="center"/>
    </xf>
    <xf numFmtId="0" fontId="31" fillId="0" borderId="21" xfId="45" applyFont="1" applyBorder="1" applyAlignment="1">
      <alignment vertical="center"/>
    </xf>
    <xf numFmtId="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0" fontId="31" fillId="0" borderId="21" xfId="45" applyFont="1" applyBorder="1" applyAlignment="1">
      <alignment horizontal="center" vertical="center"/>
    </xf>
    <xf numFmtId="0" fontId="39" fillId="0" borderId="24" xfId="41" applyFont="1" applyFill="1" applyBorder="1" applyAlignment="1">
      <alignment horizontal="center" vertical="center"/>
    </xf>
    <xf numFmtId="1" fontId="56" fillId="0" borderId="0" xfId="100" applyNumberFormat="1" applyFont="1" applyAlignment="1">
      <alignment horizontal="right" vertical="center" wrapText="1"/>
    </xf>
    <xf numFmtId="9" fontId="31" fillId="0" borderId="0" xfId="0" applyNumberFormat="1" applyFont="1" applyAlignment="1">
      <alignment vertical="center" wrapText="1"/>
    </xf>
    <xf numFmtId="165" fontId="31" fillId="0" borderId="0" xfId="0" applyNumberFormat="1" applyFont="1" applyAlignment="1">
      <alignment horizontal="center" vertical="center" wrapText="1"/>
    </xf>
    <xf numFmtId="0" fontId="56" fillId="0" borderId="0" xfId="102" applyFont="1" applyAlignment="1">
      <alignment horizontal="center" vertical="center" wrapText="1"/>
    </xf>
    <xf numFmtId="165" fontId="31" fillId="0" borderId="0" xfId="45" applyNumberFormat="1" applyFont="1" applyAlignment="1">
      <alignment vertical="center" wrapText="1"/>
    </xf>
    <xf numFmtId="0" fontId="31" fillId="0" borderId="0" xfId="45" applyFont="1" applyAlignment="1">
      <alignment vertical="center" wrapText="1"/>
    </xf>
    <xf numFmtId="0" fontId="36" fillId="0" borderId="0" xfId="45" applyFont="1" applyAlignment="1">
      <alignment vertical="center" wrapText="1"/>
    </xf>
    <xf numFmtId="1" fontId="39" fillId="0" borderId="28" xfId="41" applyNumberFormat="1" applyFont="1" applyFill="1" applyBorder="1" applyAlignment="1" applyProtection="1">
      <alignment horizontal="center" vertical="center"/>
    </xf>
    <xf numFmtId="168" fontId="39" fillId="0" borderId="28" xfId="41" applyNumberFormat="1" applyFont="1" applyFill="1" applyBorder="1" applyAlignment="1" applyProtection="1">
      <alignment horizontal="center" vertical="center"/>
    </xf>
    <xf numFmtId="0" fontId="39" fillId="0" borderId="28" xfId="41" applyFont="1" applyFill="1" applyBorder="1" applyAlignment="1">
      <alignment horizontal="center" vertical="center"/>
    </xf>
    <xf numFmtId="170" fontId="39" fillId="0" borderId="28" xfId="41" applyNumberFormat="1" applyFont="1" applyFill="1" applyBorder="1" applyAlignment="1">
      <alignment vertical="center"/>
    </xf>
    <xf numFmtId="173" fontId="39" fillId="0" borderId="28" xfId="103" applyNumberFormat="1" applyFont="1" applyFill="1" applyBorder="1" applyAlignment="1">
      <alignment horizontal="center" vertical="center"/>
    </xf>
    <xf numFmtId="174" fontId="39" fillId="0" borderId="28" xfId="41" applyNumberFormat="1" applyFont="1" applyFill="1" applyBorder="1" applyAlignment="1">
      <alignment horizontal="left" vertical="center"/>
    </xf>
    <xf numFmtId="9" fontId="39" fillId="0" borderId="28" xfId="103" applyFont="1" applyFill="1" applyBorder="1" applyAlignment="1">
      <alignment horizontal="center" vertical="center"/>
    </xf>
    <xf numFmtId="1" fontId="39" fillId="0" borderId="30" xfId="41" applyNumberFormat="1" applyFont="1" applyFill="1" applyBorder="1" applyAlignment="1" applyProtection="1">
      <alignment horizontal="center" vertical="center"/>
    </xf>
    <xf numFmtId="168" fontId="39" fillId="0" borderId="30" xfId="41" applyNumberFormat="1" applyFont="1" applyFill="1" applyBorder="1" applyAlignment="1" applyProtection="1">
      <alignment horizontal="center" vertical="center"/>
    </xf>
    <xf numFmtId="0" fontId="39" fillId="0" borderId="30" xfId="41" applyFont="1" applyFill="1" applyBorder="1" applyAlignment="1">
      <alignment horizontal="center" vertical="center"/>
    </xf>
    <xf numFmtId="170" fontId="39" fillId="0" borderId="30" xfId="41" applyNumberFormat="1" applyFont="1" applyFill="1" applyBorder="1" applyAlignment="1">
      <alignment vertical="center"/>
    </xf>
    <xf numFmtId="169" fontId="39" fillId="0" borderId="30" xfId="41" applyNumberFormat="1" applyFont="1" applyFill="1" applyBorder="1" applyAlignment="1">
      <alignment horizontal="left" vertical="center"/>
    </xf>
    <xf numFmtId="170" fontId="31" fillId="0" borderId="31" xfId="0" applyNumberFormat="1" applyFont="1" applyBorder="1" applyAlignment="1">
      <alignment vertical="center"/>
    </xf>
    <xf numFmtId="164" fontId="39" fillId="0" borderId="28" xfId="41" applyNumberFormat="1" applyFont="1" applyFill="1" applyBorder="1" applyAlignment="1">
      <alignment vertical="center"/>
    </xf>
    <xf numFmtId="164" fontId="39" fillId="0" borderId="33" xfId="41" applyNumberFormat="1" applyFont="1" applyFill="1" applyBorder="1" applyAlignment="1">
      <alignment vertical="center"/>
    </xf>
    <xf numFmtId="174" fontId="39" fillId="0" borderId="33" xfId="41" applyNumberFormat="1" applyFont="1" applyFill="1" applyBorder="1" applyAlignment="1">
      <alignment vertical="center"/>
    </xf>
    <xf numFmtId="164" fontId="39" fillId="0" borderId="32" xfId="41" applyNumberFormat="1" applyFont="1" applyFill="1" applyBorder="1" applyAlignment="1">
      <alignment vertical="center"/>
    </xf>
    <xf numFmtId="0" fontId="39" fillId="0" borderId="35" xfId="41" applyFont="1" applyFill="1" applyBorder="1" applyAlignment="1">
      <alignment vertical="top" wrapText="1"/>
    </xf>
    <xf numFmtId="0" fontId="39" fillId="0" borderId="33" xfId="41" applyFont="1" applyFill="1" applyBorder="1" applyAlignment="1">
      <alignment vertical="top" wrapText="1"/>
    </xf>
    <xf numFmtId="0" fontId="39" fillId="0" borderId="32" xfId="41" applyFont="1" applyFill="1" applyBorder="1" applyAlignment="1">
      <alignment vertical="top" wrapText="1"/>
    </xf>
    <xf numFmtId="0" fontId="32" fillId="0" borderId="34" xfId="45" applyFont="1" applyBorder="1" applyAlignment="1">
      <alignment vertical="center"/>
    </xf>
    <xf numFmtId="0" fontId="32" fillId="0" borderId="0" xfId="0" applyFont="1" applyAlignment="1">
      <alignment horizontal="justify" vertical="center" wrapText="1"/>
    </xf>
    <xf numFmtId="0" fontId="56" fillId="0" borderId="0" xfId="98" applyFont="1" applyAlignment="1">
      <alignment wrapText="1"/>
    </xf>
    <xf numFmtId="0" fontId="39" fillId="0" borderId="28" xfId="41" applyFont="1" applyFill="1" applyBorder="1" applyAlignment="1">
      <alignment vertical="top" wrapText="1"/>
    </xf>
    <xf numFmtId="0" fontId="39" fillId="0" borderId="30" xfId="41" applyFont="1" applyFill="1" applyBorder="1" applyAlignment="1">
      <alignment vertical="top" wrapText="1"/>
    </xf>
    <xf numFmtId="2" fontId="31" fillId="0" borderId="0" xfId="0" applyNumberFormat="1" applyFont="1" applyAlignment="1">
      <alignment vertical="top" wrapText="1"/>
    </xf>
    <xf numFmtId="0" fontId="32" fillId="0" borderId="0" xfId="45" applyFont="1" applyAlignment="1">
      <alignment vertical="center"/>
    </xf>
    <xf numFmtId="0" fontId="32" fillId="0" borderId="0" xfId="45" applyFont="1" applyAlignment="1">
      <alignment horizontal="center" vertical="center" wrapText="1"/>
    </xf>
    <xf numFmtId="0" fontId="32" fillId="0" borderId="0" xfId="45" applyFont="1" applyAlignment="1">
      <alignment horizontal="center" vertical="center"/>
    </xf>
    <xf numFmtId="1" fontId="35" fillId="24" borderId="10" xfId="34" applyNumberFormat="1" applyFont="1" applyFill="1" applyBorder="1" applyAlignment="1" applyProtection="1">
      <alignment horizontal="center" vertical="center" wrapText="1"/>
    </xf>
    <xf numFmtId="2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34" applyFont="1" applyFill="1" applyBorder="1" applyAlignment="1" applyProtection="1">
      <alignment horizontal="center" vertical="center" wrapText="1"/>
    </xf>
    <xf numFmtId="170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102" applyFont="1" applyFill="1" applyBorder="1" applyAlignment="1">
      <alignment wrapText="1"/>
    </xf>
    <xf numFmtId="0" fontId="57" fillId="0" borderId="26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32" fillId="0" borderId="31" xfId="45" applyFont="1" applyBorder="1" applyAlignment="1">
      <alignment horizontal="center" vertical="center" wrapText="1"/>
    </xf>
    <xf numFmtId="0" fontId="32" fillId="0" borderId="31" xfId="45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0" fontId="32" fillId="0" borderId="25" xfId="0" applyNumberFormat="1" applyFont="1" applyBorder="1" applyAlignment="1">
      <alignment vertical="center"/>
    </xf>
    <xf numFmtId="171" fontId="32" fillId="0" borderId="25" xfId="45" applyNumberFormat="1" applyFont="1" applyBorder="1" applyAlignment="1">
      <alignment vertical="center"/>
    </xf>
    <xf numFmtId="172" fontId="32" fillId="0" borderId="27" xfId="45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top"/>
    </xf>
    <xf numFmtId="0" fontId="31" fillId="0" borderId="38" xfId="0" applyFont="1" applyBorder="1" applyAlignment="1">
      <alignment vertical="top"/>
    </xf>
    <xf numFmtId="2" fontId="31" fillId="0" borderId="38" xfId="0" applyNumberFormat="1" applyFont="1" applyBorder="1" applyAlignment="1">
      <alignment vertical="top" wrapText="1"/>
    </xf>
    <xf numFmtId="1" fontId="31" fillId="0" borderId="38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170" fontId="31" fillId="0" borderId="38" xfId="0" applyNumberFormat="1" applyFont="1" applyBorder="1" applyAlignment="1">
      <alignment vertical="center" wrapText="1"/>
    </xf>
    <xf numFmtId="2" fontId="31" fillId="0" borderId="38" xfId="0" applyNumberFormat="1" applyFont="1" applyBorder="1" applyAlignment="1">
      <alignment vertical="center" wrapText="1"/>
    </xf>
    <xf numFmtId="168" fontId="31" fillId="0" borderId="39" xfId="0" applyNumberFormat="1" applyFont="1" applyBorder="1" applyAlignment="1">
      <alignment vertical="center"/>
    </xf>
    <xf numFmtId="0" fontId="35" fillId="0" borderId="40" xfId="102" applyFont="1" applyBorder="1" applyAlignment="1">
      <alignment wrapText="1"/>
    </xf>
    <xf numFmtId="0" fontId="56" fillId="0" borderId="0" xfId="102" applyFont="1" applyAlignment="1">
      <alignment horizontal="right" wrapText="1"/>
    </xf>
    <xf numFmtId="0" fontId="60" fillId="20" borderId="25" xfId="39" applyFont="1" applyBorder="1" applyAlignment="1">
      <alignment vertical="top"/>
    </xf>
    <xf numFmtId="0" fontId="60" fillId="20" borderId="26" xfId="39" applyFont="1" applyBorder="1" applyAlignment="1">
      <alignment vertical="top"/>
    </xf>
    <xf numFmtId="0" fontId="60" fillId="20" borderId="11" xfId="39" applyFont="1" applyBorder="1" applyAlignment="1">
      <alignment vertical="top" wrapText="1"/>
    </xf>
    <xf numFmtId="1" fontId="60" fillId="20" borderId="26" xfId="39" applyNumberFormat="1" applyFont="1" applyBorder="1" applyAlignment="1">
      <alignment vertical="center"/>
    </xf>
    <xf numFmtId="0" fontId="60" fillId="20" borderId="26" xfId="39" applyFont="1" applyBorder="1" applyAlignment="1">
      <alignment vertical="center"/>
    </xf>
    <xf numFmtId="0" fontId="60" fillId="20" borderId="26" xfId="39" applyFont="1" applyBorder="1" applyAlignment="1">
      <alignment horizontal="center" vertical="center"/>
    </xf>
    <xf numFmtId="170" fontId="60" fillId="20" borderId="26" xfId="39" applyNumberFormat="1" applyFont="1" applyBorder="1" applyAlignment="1">
      <alignment vertical="center"/>
    </xf>
    <xf numFmtId="164" fontId="60" fillId="20" borderId="10" xfId="39" applyNumberFormat="1" applyFont="1" applyBorder="1" applyAlignment="1">
      <alignment vertical="center"/>
    </xf>
    <xf numFmtId="165" fontId="61" fillId="0" borderId="0" xfId="45" applyNumberFormat="1" applyFont="1" applyAlignment="1">
      <alignment vertical="center"/>
    </xf>
    <xf numFmtId="0" fontId="61" fillId="0" borderId="0" xfId="45" applyFont="1" applyAlignment="1">
      <alignment vertical="center"/>
    </xf>
    <xf numFmtId="0" fontId="62" fillId="0" borderId="0" xfId="45" applyFont="1" applyAlignment="1">
      <alignment vertical="center"/>
    </xf>
    <xf numFmtId="0" fontId="35" fillId="0" borderId="0" xfId="102" applyFont="1" applyAlignment="1">
      <alignment wrapText="1"/>
    </xf>
    <xf numFmtId="1" fontId="35" fillId="0" borderId="0" xfId="100" applyNumberFormat="1" applyFont="1" applyAlignment="1">
      <alignment horizontal="right" vertical="center" wrapText="1"/>
    </xf>
    <xf numFmtId="9" fontId="32" fillId="0" borderId="0" xfId="0" applyNumberFormat="1" applyFont="1" applyAlignment="1">
      <alignment vertical="center" wrapText="1"/>
    </xf>
    <xf numFmtId="165" fontId="32" fillId="0" borderId="0" xfId="0" applyNumberFormat="1" applyFont="1" applyAlignment="1">
      <alignment horizontal="center" vertical="center" wrapText="1"/>
    </xf>
    <xf numFmtId="0" fontId="35" fillId="0" borderId="0" xfId="102" applyFont="1" applyAlignment="1">
      <alignment horizontal="center" vertical="center" wrapText="1"/>
    </xf>
    <xf numFmtId="0" fontId="32" fillId="0" borderId="21" xfId="45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/>
    </xf>
    <xf numFmtId="0" fontId="11" fillId="25" borderId="41" xfId="0" applyFont="1" applyFill="1" applyBorder="1" applyAlignment="1">
      <alignment horizontal="left" vertical="center"/>
    </xf>
    <xf numFmtId="0" fontId="11" fillId="25" borderId="26" xfId="0" applyFont="1" applyFill="1" applyBorder="1" applyAlignment="1">
      <alignment horizontal="left" vertical="center"/>
    </xf>
    <xf numFmtId="0" fontId="11" fillId="25" borderId="27" xfId="0" applyFont="1" applyFill="1" applyBorder="1" applyAlignment="1">
      <alignment horizontal="left" vertical="center"/>
    </xf>
    <xf numFmtId="0" fontId="63" fillId="24" borderId="41" xfId="0" applyFont="1" applyFill="1" applyBorder="1" applyAlignment="1">
      <alignment horizontal="left" vertical="center"/>
    </xf>
    <xf numFmtId="0" fontId="63" fillId="24" borderId="26" xfId="0" applyFont="1" applyFill="1" applyBorder="1" applyAlignment="1">
      <alignment horizontal="left" vertical="center"/>
    </xf>
    <xf numFmtId="0" fontId="63" fillId="24" borderId="27" xfId="0" applyFont="1" applyFill="1" applyBorder="1" applyAlignment="1">
      <alignment horizontal="left" vertical="center"/>
    </xf>
  </cellXfs>
  <cellStyles count="104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99" xr:uid="{00000000-0005-0000-0000-00004C000000}"/>
    <cellStyle name="Normal 11" xfId="100" xr:uid="{00000000-0005-0000-0000-00004D000000}"/>
    <cellStyle name="Normal 12" xfId="101" xr:uid="{00000000-0005-0000-0000-00004E000000}"/>
    <cellStyle name="Normal 13" xfId="102" xr:uid="{00000000-0005-0000-0000-00004F000000}"/>
    <cellStyle name="Normal 2" xfId="44" xr:uid="{00000000-0005-0000-0000-000050000000}"/>
    <cellStyle name="Normal 2 2" xfId="47" xr:uid="{00000000-0005-0000-0000-000051000000}"/>
    <cellStyle name="Normal 2 3" xfId="45" xr:uid="{00000000-0005-0000-0000-000052000000}"/>
    <cellStyle name="Normal 2 3 2" xfId="52" xr:uid="{00000000-0005-0000-0000-000053000000}"/>
    <cellStyle name="Normal 3" xfId="37" xr:uid="{00000000-0005-0000-0000-000054000000}"/>
    <cellStyle name="Normal 4" xfId="43" xr:uid="{00000000-0005-0000-0000-000055000000}"/>
    <cellStyle name="Normal 4 2" xfId="53" xr:uid="{00000000-0005-0000-0000-000056000000}"/>
    <cellStyle name="Normal 4 3" xfId="51" xr:uid="{00000000-0005-0000-0000-000057000000}"/>
    <cellStyle name="Normal 5" xfId="49" xr:uid="{00000000-0005-0000-0000-000058000000}"/>
    <cellStyle name="Normal 6" xfId="55" xr:uid="{00000000-0005-0000-0000-000059000000}"/>
    <cellStyle name="Normal 7" xfId="54" xr:uid="{00000000-0005-0000-0000-00005A000000}"/>
    <cellStyle name="Normal 8" xfId="97" xr:uid="{00000000-0005-0000-0000-00005B000000}"/>
    <cellStyle name="Normal 9" xfId="98" xr:uid="{00000000-0005-0000-0000-00005C000000}"/>
    <cellStyle name="Note" xfId="38" builtinId="10" customBuiltin="1"/>
    <cellStyle name="Note 2" xfId="70" xr:uid="{00000000-0005-0000-0000-00005E000000}"/>
    <cellStyle name="Output" xfId="39" builtinId="21" customBuiltin="1"/>
    <cellStyle name="Output 2" xfId="65" xr:uid="{00000000-0005-0000-0000-000060000000}"/>
    <cellStyle name="Percent" xfId="103" builtinId="5"/>
    <cellStyle name="Title" xfId="40" builtinId="15" customBuiltin="1"/>
    <cellStyle name="Title 2" xfId="56" xr:uid="{00000000-0005-0000-0000-000063000000}"/>
    <cellStyle name="Total" xfId="41" builtinId="25" customBuiltin="1"/>
    <cellStyle name="Total 2" xfId="72" xr:uid="{00000000-0005-0000-0000-000065000000}"/>
    <cellStyle name="Warning Text" xfId="42" builtinId="11" customBuiltin="1"/>
    <cellStyle name="Warning Text 2" xfId="69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2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F8" sqref="F8"/>
    </sheetView>
  </sheetViews>
  <sheetFormatPr defaultColWidth="9.6328125" defaultRowHeight="15.6"/>
  <cols>
    <col min="1" max="1" width="7.453125" style="1" customWidth="1"/>
    <col min="2" max="3" width="16.453125" style="1" customWidth="1"/>
    <col min="4" max="4" width="98.1796875" style="67" bestFit="1" customWidth="1"/>
    <col min="5" max="5" width="7.81640625" style="20" bestFit="1" customWidth="1"/>
    <col min="6" max="6" width="11.54296875" style="8" customWidth="1"/>
    <col min="7" max="7" width="20.08984375" style="8" customWidth="1"/>
    <col min="8" max="8" width="10.6328125" style="6" customWidth="1"/>
    <col min="9" max="9" width="15.08984375" style="6" bestFit="1" customWidth="1"/>
    <col min="10" max="10" width="15.6328125" style="6" bestFit="1" customWidth="1"/>
    <col min="11" max="11" width="12.36328125" style="6" bestFit="1" customWidth="1"/>
    <col min="12" max="12" width="14" style="6" bestFit="1" customWidth="1"/>
    <col min="13" max="13" width="8.81640625" style="6" bestFit="1" customWidth="1"/>
    <col min="14" max="14" width="13.81640625" style="18" customWidth="1"/>
    <col min="15" max="15" width="14.54296875" style="7" bestFit="1" customWidth="1"/>
    <col min="16" max="16" width="15.81640625" style="9" bestFit="1" customWidth="1"/>
    <col min="17" max="17" width="8.36328125" style="1" customWidth="1"/>
    <col min="18" max="18" width="9.6328125" style="1"/>
    <col min="19" max="19" width="10.36328125" style="1" bestFit="1" customWidth="1"/>
    <col min="20" max="20" width="9.6328125" style="1"/>
    <col min="21" max="21" width="9.6328125" style="12"/>
    <col min="22" max="16384" width="9.6328125" style="1"/>
  </cols>
  <sheetData>
    <row r="1" spans="1:25" ht="24.6">
      <c r="A1" s="115" t="s">
        <v>5</v>
      </c>
      <c r="B1" s="116"/>
      <c r="C1" s="76"/>
      <c r="D1" s="119" t="s">
        <v>82</v>
      </c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80" t="s">
        <v>0</v>
      </c>
      <c r="P1" s="81" t="s">
        <v>1</v>
      </c>
    </row>
    <row r="2" spans="1:25" ht="24.6">
      <c r="A2" s="115" t="s">
        <v>6</v>
      </c>
      <c r="B2" s="116"/>
      <c r="C2" s="76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14" t="s">
        <v>26</v>
      </c>
      <c r="P2" s="113">
        <f>P74</f>
        <v>51617.819960000001</v>
      </c>
    </row>
    <row r="3" spans="1:25" ht="24.6">
      <c r="A3" s="117" t="s">
        <v>4</v>
      </c>
      <c r="B3" s="118"/>
      <c r="C3" s="77"/>
      <c r="D3" s="122">
        <v>45152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14"/>
      <c r="P3" s="114"/>
    </row>
    <row r="4" spans="1:25" s="5" customFormat="1" ht="31.2">
      <c r="A4" s="71" t="s">
        <v>20</v>
      </c>
      <c r="B4" s="71" t="s">
        <v>80</v>
      </c>
      <c r="C4" s="71" t="s">
        <v>27</v>
      </c>
      <c r="D4" s="72" t="s">
        <v>12</v>
      </c>
      <c r="E4" s="71" t="s">
        <v>13</v>
      </c>
      <c r="F4" s="72" t="s">
        <v>14</v>
      </c>
      <c r="G4" s="72" t="s">
        <v>15</v>
      </c>
      <c r="H4" s="73" t="s">
        <v>7</v>
      </c>
      <c r="I4" s="73" t="s">
        <v>9</v>
      </c>
      <c r="J4" s="73" t="s">
        <v>10</v>
      </c>
      <c r="K4" s="73" t="s">
        <v>16</v>
      </c>
      <c r="L4" s="73" t="s">
        <v>17</v>
      </c>
      <c r="M4" s="73" t="s">
        <v>18</v>
      </c>
      <c r="N4" s="74" t="s">
        <v>8</v>
      </c>
      <c r="O4" s="72" t="s">
        <v>2</v>
      </c>
      <c r="P4" s="73" t="s">
        <v>11</v>
      </c>
      <c r="Q4" s="4"/>
      <c r="R4" s="4"/>
      <c r="S4" s="4"/>
      <c r="T4" s="4"/>
      <c r="U4" s="13"/>
      <c r="V4" s="4"/>
      <c r="W4" s="4"/>
      <c r="X4" s="4"/>
      <c r="Y4" s="4"/>
    </row>
    <row r="5" spans="1:25" s="105" customFormat="1" ht="18">
      <c r="A5" s="96" t="str">
        <f>IF(H5&lt;&gt;"",1+MAX($A$5:A5),"")</f>
        <v/>
      </c>
      <c r="B5" s="97"/>
      <c r="C5" s="97"/>
      <c r="D5" s="98" t="s">
        <v>81</v>
      </c>
      <c r="E5" s="99"/>
      <c r="F5" s="100"/>
      <c r="G5" s="101"/>
      <c r="H5" s="100"/>
      <c r="I5" s="100"/>
      <c r="J5" s="100"/>
      <c r="K5" s="100"/>
      <c r="L5" s="100"/>
      <c r="M5" s="100"/>
      <c r="N5" s="102"/>
      <c r="O5" s="100"/>
      <c r="P5" s="103">
        <f>SUM(O8:O68)</f>
        <v>39402.916000000005</v>
      </c>
      <c r="Q5" s="104"/>
      <c r="R5" s="104"/>
      <c r="U5" s="106"/>
    </row>
    <row r="6" spans="1:25" s="3" customFormat="1">
      <c r="A6" s="33" t="str">
        <f>IF(H6&lt;&gt;"",1+MAX($A$5:A5),"")</f>
        <v/>
      </c>
      <c r="B6" s="62"/>
      <c r="C6" s="68"/>
      <c r="D6" s="63"/>
      <c r="E6" s="15"/>
      <c r="F6" s="16"/>
      <c r="G6" s="21"/>
      <c r="H6" s="17"/>
      <c r="I6" s="17"/>
      <c r="J6" s="17"/>
      <c r="K6" s="17"/>
      <c r="L6" s="17"/>
      <c r="M6" s="17"/>
      <c r="N6" s="82" t="s">
        <v>19</v>
      </c>
      <c r="O6" s="29">
        <v>60</v>
      </c>
      <c r="P6" s="54"/>
      <c r="Q6" s="2"/>
      <c r="R6" s="2"/>
      <c r="U6" s="14"/>
    </row>
    <row r="7" spans="1:25" s="40" customFormat="1">
      <c r="A7" s="33" t="str">
        <f>IF(H7&lt;&gt;"",1+MAX($A$5:A6),"")</f>
        <v/>
      </c>
      <c r="B7" s="79"/>
      <c r="C7" s="112" t="s">
        <v>36</v>
      </c>
      <c r="D7" s="75" t="s">
        <v>37</v>
      </c>
      <c r="E7" s="35"/>
      <c r="F7" s="36"/>
      <c r="G7" s="37"/>
      <c r="H7" s="38"/>
      <c r="I7" s="19"/>
      <c r="J7" s="19"/>
      <c r="K7" s="31"/>
      <c r="L7" s="19"/>
      <c r="M7" s="32"/>
      <c r="N7" s="11"/>
      <c r="O7" s="11"/>
      <c r="P7" s="54"/>
      <c r="Q7" s="39"/>
      <c r="R7" s="39"/>
      <c r="U7" s="41"/>
    </row>
    <row r="8" spans="1:25" s="40" customFormat="1">
      <c r="A8" s="33">
        <f>IF(H8&lt;&gt;"",1+MAX($A$5:A7),"")</f>
        <v>1</v>
      </c>
      <c r="B8" s="79"/>
      <c r="C8" s="112"/>
      <c r="D8" s="107" t="s">
        <v>38</v>
      </c>
      <c r="E8" s="108">
        <v>414</v>
      </c>
      <c r="F8" s="109"/>
      <c r="G8" s="110"/>
      <c r="H8" s="111" t="s">
        <v>28</v>
      </c>
      <c r="I8" s="19"/>
      <c r="J8" s="19"/>
      <c r="K8" s="31"/>
      <c r="L8" s="19"/>
      <c r="M8" s="32"/>
      <c r="N8" s="11"/>
      <c r="O8" s="11"/>
      <c r="P8" s="54"/>
      <c r="Q8" s="39"/>
      <c r="R8" s="39"/>
      <c r="U8" s="41"/>
    </row>
    <row r="9" spans="1:25" s="40" customFormat="1">
      <c r="A9" s="33">
        <f>IF(H9&lt;&gt;"",1+MAX($A$5:A8),"")</f>
        <v>2</v>
      </c>
      <c r="B9" s="79"/>
      <c r="C9" s="112"/>
      <c r="D9" s="27" t="s">
        <v>39</v>
      </c>
      <c r="E9" s="35">
        <v>1</v>
      </c>
      <c r="F9" s="36">
        <v>0</v>
      </c>
      <c r="G9" s="37">
        <f t="shared" ref="G9:G15" si="0">(1+F9)*E9</f>
        <v>1</v>
      </c>
      <c r="H9" s="38" t="s">
        <v>40</v>
      </c>
      <c r="I9" s="19">
        <f>38*2*3*7</f>
        <v>1596</v>
      </c>
      <c r="J9" s="19">
        <f t="shared" ref="J9" si="1">I9*G9</f>
        <v>1596</v>
      </c>
      <c r="K9" s="31">
        <f>2*3*7*0.08</f>
        <v>3.36</v>
      </c>
      <c r="L9" s="19">
        <f>$O$6</f>
        <v>60</v>
      </c>
      <c r="M9" s="32">
        <f t="shared" ref="M9" si="2">K9*G9</f>
        <v>3.36</v>
      </c>
      <c r="N9" s="11">
        <f t="shared" ref="N9" si="3">M9*L9</f>
        <v>201.6</v>
      </c>
      <c r="O9" s="11">
        <f t="shared" ref="O9" si="4">N9+J9</f>
        <v>1797.6</v>
      </c>
      <c r="P9" s="54"/>
      <c r="Q9" s="39"/>
      <c r="R9" s="39"/>
      <c r="U9" s="41"/>
    </row>
    <row r="10" spans="1:25" s="40" customFormat="1">
      <c r="A10" s="33">
        <f>IF(H10&lt;&gt;"",1+MAX($A$5:A9),"")</f>
        <v>3</v>
      </c>
      <c r="B10" s="79"/>
      <c r="C10" s="112"/>
      <c r="D10" s="27" t="s">
        <v>41</v>
      </c>
      <c r="E10" s="35">
        <v>1</v>
      </c>
      <c r="F10" s="36">
        <v>0</v>
      </c>
      <c r="G10" s="37">
        <f t="shared" si="0"/>
        <v>1</v>
      </c>
      <c r="H10" s="38" t="s">
        <v>40</v>
      </c>
      <c r="I10" s="19">
        <f>38*5.66*7</f>
        <v>1505.5600000000002</v>
      </c>
      <c r="J10" s="19">
        <f t="shared" ref="J10:J15" si="5">I10*G10</f>
        <v>1505.5600000000002</v>
      </c>
      <c r="K10" s="31">
        <f>0.08*5.66*7</f>
        <v>3.1696000000000004</v>
      </c>
      <c r="L10" s="19">
        <f t="shared" ref="L10:L15" si="6">$O$6</f>
        <v>60</v>
      </c>
      <c r="M10" s="32">
        <f t="shared" ref="M10:M15" si="7">K10*G10</f>
        <v>3.1696000000000004</v>
      </c>
      <c r="N10" s="11">
        <f t="shared" ref="N10:N15" si="8">M10*L10</f>
        <v>190.17600000000002</v>
      </c>
      <c r="O10" s="11">
        <f t="shared" ref="O10:O15" si="9">N10+J10</f>
        <v>1695.7360000000001</v>
      </c>
      <c r="P10" s="54"/>
      <c r="Q10" s="39"/>
      <c r="R10" s="39"/>
      <c r="U10" s="41"/>
    </row>
    <row r="11" spans="1:25" s="40" customFormat="1">
      <c r="A11" s="33">
        <f>IF(H11&lt;&gt;"",1+MAX($A$5:A10),"")</f>
        <v>4</v>
      </c>
      <c r="B11" s="79"/>
      <c r="C11" s="112"/>
      <c r="D11" s="27" t="s">
        <v>42</v>
      </c>
      <c r="E11" s="35">
        <v>4</v>
      </c>
      <c r="F11" s="36">
        <v>0</v>
      </c>
      <c r="G11" s="37">
        <f t="shared" si="0"/>
        <v>4</v>
      </c>
      <c r="H11" s="38" t="s">
        <v>40</v>
      </c>
      <c r="I11" s="19">
        <v>1510</v>
      </c>
      <c r="J11" s="19">
        <f t="shared" si="5"/>
        <v>6040</v>
      </c>
      <c r="K11" s="31">
        <f>0.08*5.66*7</f>
        <v>3.1696000000000004</v>
      </c>
      <c r="L11" s="19">
        <f t="shared" si="6"/>
        <v>60</v>
      </c>
      <c r="M11" s="32">
        <f t="shared" si="7"/>
        <v>12.678400000000002</v>
      </c>
      <c r="N11" s="11">
        <f t="shared" si="8"/>
        <v>760.70400000000006</v>
      </c>
      <c r="O11" s="11">
        <f t="shared" si="9"/>
        <v>6800.7039999999997</v>
      </c>
      <c r="P11" s="54"/>
      <c r="Q11" s="39"/>
      <c r="R11" s="39"/>
      <c r="U11" s="41"/>
    </row>
    <row r="12" spans="1:25" s="40" customFormat="1">
      <c r="A12" s="33">
        <f>IF(H12&lt;&gt;"",1+MAX($A$5:A11),"")</f>
        <v>5</v>
      </c>
      <c r="B12" s="79"/>
      <c r="C12" s="112"/>
      <c r="D12" s="27" t="s">
        <v>43</v>
      </c>
      <c r="E12" s="35">
        <v>1</v>
      </c>
      <c r="F12" s="36">
        <v>0</v>
      </c>
      <c r="G12" s="37">
        <f t="shared" si="0"/>
        <v>1</v>
      </c>
      <c r="H12" s="38" t="s">
        <v>40</v>
      </c>
      <c r="I12" s="19">
        <f>38*6*7</f>
        <v>1596</v>
      </c>
      <c r="J12" s="19">
        <f t="shared" si="5"/>
        <v>1596</v>
      </c>
      <c r="K12" s="31">
        <v>3.4</v>
      </c>
      <c r="L12" s="19">
        <f t="shared" si="6"/>
        <v>60</v>
      </c>
      <c r="M12" s="32">
        <f t="shared" si="7"/>
        <v>3.4</v>
      </c>
      <c r="N12" s="11">
        <f t="shared" si="8"/>
        <v>204</v>
      </c>
      <c r="O12" s="11">
        <f t="shared" si="9"/>
        <v>1800</v>
      </c>
      <c r="P12" s="54"/>
      <c r="Q12" s="39"/>
      <c r="R12" s="39"/>
      <c r="U12" s="41"/>
    </row>
    <row r="13" spans="1:25" s="40" customFormat="1">
      <c r="A13" s="33">
        <f>IF(H13&lt;&gt;"",1+MAX($A$5:A12),"")</f>
        <v>6</v>
      </c>
      <c r="B13" s="79"/>
      <c r="C13" s="112"/>
      <c r="D13" s="27" t="s">
        <v>44</v>
      </c>
      <c r="E13" s="35">
        <v>1</v>
      </c>
      <c r="F13" s="36">
        <v>0</v>
      </c>
      <c r="G13" s="37">
        <f t="shared" si="0"/>
        <v>1</v>
      </c>
      <c r="H13" s="38" t="s">
        <v>40</v>
      </c>
      <c r="I13" s="19">
        <f>5.66*3*38</f>
        <v>645.24</v>
      </c>
      <c r="J13" s="19">
        <f t="shared" si="5"/>
        <v>645.24</v>
      </c>
      <c r="K13" s="31">
        <f>0.08*5.66*3</f>
        <v>1.3584000000000001</v>
      </c>
      <c r="L13" s="19">
        <f t="shared" si="6"/>
        <v>60</v>
      </c>
      <c r="M13" s="32">
        <f t="shared" si="7"/>
        <v>1.3584000000000001</v>
      </c>
      <c r="N13" s="11">
        <f t="shared" si="8"/>
        <v>81.504000000000005</v>
      </c>
      <c r="O13" s="11">
        <f t="shared" si="9"/>
        <v>726.74400000000003</v>
      </c>
      <c r="P13" s="54"/>
      <c r="Q13" s="39"/>
      <c r="R13" s="39"/>
      <c r="U13" s="41"/>
    </row>
    <row r="14" spans="1:25" s="40" customFormat="1">
      <c r="A14" s="33">
        <f>IF(H14&lt;&gt;"",1+MAX($A$5:A13),"")</f>
        <v>7</v>
      </c>
      <c r="B14" s="79"/>
      <c r="C14" s="112"/>
      <c r="D14" s="27" t="s">
        <v>45</v>
      </c>
      <c r="E14" s="35">
        <v>4</v>
      </c>
      <c r="F14" s="36">
        <v>0</v>
      </c>
      <c r="G14" s="37">
        <f t="shared" si="0"/>
        <v>4</v>
      </c>
      <c r="H14" s="38" t="s">
        <v>40</v>
      </c>
      <c r="I14" s="19">
        <v>655</v>
      </c>
      <c r="J14" s="19">
        <f t="shared" si="5"/>
        <v>2620</v>
      </c>
      <c r="K14" s="31">
        <f>0.08*5.66*3</f>
        <v>1.3584000000000001</v>
      </c>
      <c r="L14" s="19">
        <f t="shared" si="6"/>
        <v>60</v>
      </c>
      <c r="M14" s="32">
        <f t="shared" si="7"/>
        <v>5.4336000000000002</v>
      </c>
      <c r="N14" s="11">
        <f t="shared" si="8"/>
        <v>326.01600000000002</v>
      </c>
      <c r="O14" s="11">
        <f t="shared" si="9"/>
        <v>2946.0160000000001</v>
      </c>
      <c r="P14" s="54"/>
      <c r="Q14" s="39"/>
      <c r="R14" s="39"/>
      <c r="U14" s="41"/>
    </row>
    <row r="15" spans="1:25" s="40" customFormat="1">
      <c r="A15" s="33">
        <f>IF(H15&lt;&gt;"",1+MAX($A$5:A14),"")</f>
        <v>8</v>
      </c>
      <c r="B15" s="79"/>
      <c r="C15" s="112"/>
      <c r="D15" s="27" t="s">
        <v>46</v>
      </c>
      <c r="E15" s="35">
        <v>2</v>
      </c>
      <c r="F15" s="36">
        <v>0</v>
      </c>
      <c r="G15" s="37">
        <f t="shared" si="0"/>
        <v>2</v>
      </c>
      <c r="H15" s="38" t="s">
        <v>40</v>
      </c>
      <c r="I15" s="19">
        <f>6*3*38</f>
        <v>684</v>
      </c>
      <c r="J15" s="19">
        <f t="shared" si="5"/>
        <v>1368</v>
      </c>
      <c r="K15" s="31">
        <f>6*3*0.08</f>
        <v>1.44</v>
      </c>
      <c r="L15" s="19">
        <f t="shared" si="6"/>
        <v>60</v>
      </c>
      <c r="M15" s="32">
        <f t="shared" si="7"/>
        <v>2.88</v>
      </c>
      <c r="N15" s="11">
        <f t="shared" si="8"/>
        <v>172.79999999999998</v>
      </c>
      <c r="O15" s="11">
        <f t="shared" si="9"/>
        <v>1540.8</v>
      </c>
      <c r="P15" s="54"/>
      <c r="Q15" s="39"/>
      <c r="R15" s="39"/>
      <c r="U15" s="41"/>
    </row>
    <row r="16" spans="1:25" s="40" customFormat="1">
      <c r="A16" s="33" t="str">
        <f>IF(H16&lt;&gt;"",1+MAX($A$5:A15),"")</f>
        <v/>
      </c>
      <c r="B16" s="79"/>
      <c r="C16" s="112"/>
      <c r="D16" s="27"/>
      <c r="E16" s="35"/>
      <c r="F16" s="36"/>
      <c r="G16" s="37"/>
      <c r="H16" s="38"/>
      <c r="I16" s="19"/>
      <c r="J16" s="19"/>
      <c r="K16" s="31"/>
      <c r="L16" s="19"/>
      <c r="M16" s="32"/>
      <c r="N16" s="11"/>
      <c r="O16" s="11"/>
      <c r="P16" s="54"/>
      <c r="Q16" s="39"/>
      <c r="R16" s="39"/>
      <c r="U16" s="41"/>
    </row>
    <row r="17" spans="1:21" s="40" customFormat="1">
      <c r="A17" s="33" t="str">
        <f>IF(H17&lt;&gt;"",1+MAX($A$5:A16),"")</f>
        <v/>
      </c>
      <c r="B17" s="79"/>
      <c r="C17" s="112"/>
      <c r="D17" s="94" t="s">
        <v>47</v>
      </c>
      <c r="E17" s="35"/>
      <c r="F17" s="36"/>
      <c r="G17" s="37"/>
      <c r="H17" s="38"/>
      <c r="I17" s="19"/>
      <c r="J17" s="19"/>
      <c r="K17" s="31"/>
      <c r="L17" s="19"/>
      <c r="M17" s="32"/>
      <c r="N17" s="11"/>
      <c r="O17" s="11"/>
      <c r="P17" s="54"/>
      <c r="Q17" s="39"/>
      <c r="R17" s="39"/>
      <c r="U17" s="41"/>
    </row>
    <row r="18" spans="1:21" s="40" customFormat="1">
      <c r="A18" s="33">
        <f>IF(H18&lt;&gt;"",1+MAX($A$5:A17),"")</f>
        <v>9</v>
      </c>
      <c r="B18" s="79"/>
      <c r="C18" s="112"/>
      <c r="D18" s="95" t="s">
        <v>48</v>
      </c>
      <c r="E18" s="35">
        <v>2</v>
      </c>
      <c r="F18" s="36">
        <v>0</v>
      </c>
      <c r="G18" s="37">
        <f t="shared" ref="G18:G28" si="10">(1+F18)*E18</f>
        <v>2</v>
      </c>
      <c r="H18" s="38" t="s">
        <v>40</v>
      </c>
      <c r="I18" s="19">
        <v>36.950000000000003</v>
      </c>
      <c r="J18" s="19">
        <f t="shared" ref="J18:J28" si="11">I18*G18</f>
        <v>73.900000000000006</v>
      </c>
      <c r="K18" s="31">
        <v>0.34399999999999997</v>
      </c>
      <c r="L18" s="19">
        <f t="shared" ref="L18:L28" si="12">$O$6</f>
        <v>60</v>
      </c>
      <c r="M18" s="32">
        <f t="shared" ref="M18:M28" si="13">K18*G18</f>
        <v>0.68799999999999994</v>
      </c>
      <c r="N18" s="11">
        <f t="shared" ref="N18:N28" si="14">M18*L18</f>
        <v>41.279999999999994</v>
      </c>
      <c r="O18" s="11">
        <f t="shared" ref="O18:O28" si="15">N18+J18</f>
        <v>115.18</v>
      </c>
      <c r="P18" s="54"/>
      <c r="Q18" s="39"/>
      <c r="R18" s="39"/>
      <c r="U18" s="41"/>
    </row>
    <row r="19" spans="1:21" s="40" customFormat="1">
      <c r="A19" s="33">
        <f>IF(H19&lt;&gt;"",1+MAX($A$5:A18),"")</f>
        <v>10</v>
      </c>
      <c r="B19" s="79"/>
      <c r="C19" s="112"/>
      <c r="D19" s="95" t="s">
        <v>49</v>
      </c>
      <c r="E19" s="35">
        <v>2</v>
      </c>
      <c r="F19" s="36">
        <v>0</v>
      </c>
      <c r="G19" s="37">
        <f t="shared" si="10"/>
        <v>2</v>
      </c>
      <c r="H19" s="38" t="s">
        <v>40</v>
      </c>
      <c r="I19" s="19">
        <v>29.56</v>
      </c>
      <c r="J19" s="19">
        <f t="shared" si="11"/>
        <v>59.12</v>
      </c>
      <c r="K19" s="31">
        <v>0.4</v>
      </c>
      <c r="L19" s="19">
        <f t="shared" si="12"/>
        <v>60</v>
      </c>
      <c r="M19" s="32">
        <f t="shared" si="13"/>
        <v>0.8</v>
      </c>
      <c r="N19" s="11">
        <f t="shared" si="14"/>
        <v>48</v>
      </c>
      <c r="O19" s="11">
        <f t="shared" si="15"/>
        <v>107.12</v>
      </c>
      <c r="P19" s="54"/>
      <c r="Q19" s="39"/>
      <c r="R19" s="39"/>
      <c r="U19" s="41"/>
    </row>
    <row r="20" spans="1:21" s="40" customFormat="1">
      <c r="A20" s="33">
        <f>IF(H20&lt;&gt;"",1+MAX($A$5:A19),"")</f>
        <v>11</v>
      </c>
      <c r="B20" s="79"/>
      <c r="C20" s="112"/>
      <c r="D20" s="95" t="s">
        <v>50</v>
      </c>
      <c r="E20" s="35">
        <v>1</v>
      </c>
      <c r="F20" s="36">
        <v>0</v>
      </c>
      <c r="G20" s="37">
        <f t="shared" si="10"/>
        <v>1</v>
      </c>
      <c r="H20" s="38" t="s">
        <v>40</v>
      </c>
      <c r="I20" s="19">
        <v>222</v>
      </c>
      <c r="J20" s="19">
        <f t="shared" si="11"/>
        <v>222</v>
      </c>
      <c r="K20" s="31">
        <v>0.86</v>
      </c>
      <c r="L20" s="19">
        <f t="shared" si="12"/>
        <v>60</v>
      </c>
      <c r="M20" s="32">
        <f t="shared" si="13"/>
        <v>0.86</v>
      </c>
      <c r="N20" s="11">
        <f t="shared" si="14"/>
        <v>51.6</v>
      </c>
      <c r="O20" s="11">
        <f t="shared" si="15"/>
        <v>273.60000000000002</v>
      </c>
      <c r="P20" s="54"/>
      <c r="Q20" s="39"/>
      <c r="R20" s="39"/>
      <c r="U20" s="41"/>
    </row>
    <row r="21" spans="1:21" s="40" customFormat="1">
      <c r="A21" s="33">
        <f>IF(H21&lt;&gt;"",1+MAX($A$5:A20),"")</f>
        <v>12</v>
      </c>
      <c r="B21" s="79"/>
      <c r="C21" s="112"/>
      <c r="D21" s="95" t="s">
        <v>51</v>
      </c>
      <c r="E21" s="35">
        <v>1</v>
      </c>
      <c r="F21" s="36">
        <v>0</v>
      </c>
      <c r="G21" s="37">
        <f t="shared" si="10"/>
        <v>1</v>
      </c>
      <c r="H21" s="38" t="s">
        <v>40</v>
      </c>
      <c r="I21" s="19">
        <v>222</v>
      </c>
      <c r="J21" s="19">
        <f t="shared" si="11"/>
        <v>222</v>
      </c>
      <c r="K21" s="31">
        <v>0.86</v>
      </c>
      <c r="L21" s="19">
        <f t="shared" si="12"/>
        <v>60</v>
      </c>
      <c r="M21" s="32">
        <f t="shared" si="13"/>
        <v>0.86</v>
      </c>
      <c r="N21" s="11">
        <f t="shared" si="14"/>
        <v>51.6</v>
      </c>
      <c r="O21" s="11">
        <f t="shared" si="15"/>
        <v>273.60000000000002</v>
      </c>
      <c r="P21" s="54"/>
      <c r="Q21" s="39"/>
      <c r="R21" s="39"/>
      <c r="U21" s="41"/>
    </row>
    <row r="22" spans="1:21" s="40" customFormat="1">
      <c r="A22" s="33">
        <f>IF(H22&lt;&gt;"",1+MAX($A$5:A21),"")</f>
        <v>13</v>
      </c>
      <c r="B22" s="79"/>
      <c r="C22" s="112"/>
      <c r="D22" s="95" t="s">
        <v>52</v>
      </c>
      <c r="E22" s="35">
        <v>1</v>
      </c>
      <c r="F22" s="36">
        <v>0</v>
      </c>
      <c r="G22" s="37">
        <f t="shared" si="10"/>
        <v>1</v>
      </c>
      <c r="H22" s="38" t="s">
        <v>40</v>
      </c>
      <c r="I22" s="19">
        <v>278</v>
      </c>
      <c r="J22" s="19">
        <f t="shared" si="11"/>
        <v>278</v>
      </c>
      <c r="K22" s="31">
        <v>1.1200000000000001</v>
      </c>
      <c r="L22" s="19">
        <f t="shared" si="12"/>
        <v>60</v>
      </c>
      <c r="M22" s="32">
        <f t="shared" si="13"/>
        <v>1.1200000000000001</v>
      </c>
      <c r="N22" s="11">
        <f t="shared" si="14"/>
        <v>67.2</v>
      </c>
      <c r="O22" s="11">
        <f t="shared" si="15"/>
        <v>345.2</v>
      </c>
      <c r="P22" s="54"/>
      <c r="Q22" s="39"/>
      <c r="R22" s="39"/>
      <c r="U22" s="41"/>
    </row>
    <row r="23" spans="1:21" s="40" customFormat="1">
      <c r="A23" s="33">
        <f>IF(H23&lt;&gt;"",1+MAX($A$5:A22),"")</f>
        <v>14</v>
      </c>
      <c r="B23" s="79"/>
      <c r="C23" s="112"/>
      <c r="D23" s="95" t="s">
        <v>53</v>
      </c>
      <c r="E23" s="35">
        <v>1</v>
      </c>
      <c r="F23" s="36">
        <v>0</v>
      </c>
      <c r="G23" s="37">
        <f t="shared" si="10"/>
        <v>1</v>
      </c>
      <c r="H23" s="38" t="s">
        <v>40</v>
      </c>
      <c r="I23" s="19">
        <v>455</v>
      </c>
      <c r="J23" s="19">
        <f t="shared" si="11"/>
        <v>455</v>
      </c>
      <c r="K23" s="31">
        <v>1.46</v>
      </c>
      <c r="L23" s="19">
        <f t="shared" si="12"/>
        <v>60</v>
      </c>
      <c r="M23" s="32">
        <f t="shared" si="13"/>
        <v>1.46</v>
      </c>
      <c r="N23" s="11">
        <f t="shared" si="14"/>
        <v>87.6</v>
      </c>
      <c r="O23" s="11">
        <f t="shared" si="15"/>
        <v>542.6</v>
      </c>
      <c r="P23" s="54"/>
      <c r="Q23" s="39"/>
      <c r="R23" s="39"/>
      <c r="U23" s="41"/>
    </row>
    <row r="24" spans="1:21" s="40" customFormat="1">
      <c r="A24" s="33">
        <f>IF(H24&lt;&gt;"",1+MAX($A$5:A23),"")</f>
        <v>15</v>
      </c>
      <c r="B24" s="79"/>
      <c r="C24" s="112"/>
      <c r="D24" s="95" t="s">
        <v>54</v>
      </c>
      <c r="E24" s="35">
        <v>1</v>
      </c>
      <c r="F24" s="36">
        <v>0</v>
      </c>
      <c r="G24" s="37">
        <f t="shared" si="10"/>
        <v>1</v>
      </c>
      <c r="H24" s="38" t="s">
        <v>40</v>
      </c>
      <c r="I24" s="19">
        <v>44.2</v>
      </c>
      <c r="J24" s="19">
        <f t="shared" si="11"/>
        <v>44.2</v>
      </c>
      <c r="K24" s="31">
        <v>0.32</v>
      </c>
      <c r="L24" s="19">
        <f t="shared" si="12"/>
        <v>60</v>
      </c>
      <c r="M24" s="32">
        <f t="shared" si="13"/>
        <v>0.32</v>
      </c>
      <c r="N24" s="11">
        <f t="shared" si="14"/>
        <v>19.2</v>
      </c>
      <c r="O24" s="11">
        <f t="shared" si="15"/>
        <v>63.400000000000006</v>
      </c>
      <c r="P24" s="54"/>
      <c r="Q24" s="39"/>
      <c r="R24" s="39"/>
      <c r="U24" s="41"/>
    </row>
    <row r="25" spans="1:21" s="40" customFormat="1">
      <c r="A25" s="33">
        <f>IF(H25&lt;&gt;"",1+MAX($A$5:A24),"")</f>
        <v>16</v>
      </c>
      <c r="B25" s="79"/>
      <c r="C25" s="112"/>
      <c r="D25" s="95" t="s">
        <v>55</v>
      </c>
      <c r="E25" s="35">
        <v>1</v>
      </c>
      <c r="F25" s="36">
        <v>0</v>
      </c>
      <c r="G25" s="37">
        <f t="shared" si="10"/>
        <v>1</v>
      </c>
      <c r="H25" s="38" t="s">
        <v>40</v>
      </c>
      <c r="I25" s="19">
        <v>186</v>
      </c>
      <c r="J25" s="19">
        <f t="shared" si="11"/>
        <v>186</v>
      </c>
      <c r="K25" s="31">
        <v>1</v>
      </c>
      <c r="L25" s="19">
        <f t="shared" si="12"/>
        <v>60</v>
      </c>
      <c r="M25" s="32">
        <f t="shared" si="13"/>
        <v>1</v>
      </c>
      <c r="N25" s="11">
        <f t="shared" si="14"/>
        <v>60</v>
      </c>
      <c r="O25" s="11">
        <f t="shared" si="15"/>
        <v>246</v>
      </c>
      <c r="P25" s="54"/>
      <c r="Q25" s="39"/>
      <c r="R25" s="39"/>
      <c r="U25" s="41"/>
    </row>
    <row r="26" spans="1:21" s="40" customFormat="1">
      <c r="A26" s="33">
        <f>IF(H26&lt;&gt;"",1+MAX($A$5:A25),"")</f>
        <v>17</v>
      </c>
      <c r="B26" s="79"/>
      <c r="C26" s="112"/>
      <c r="D26" s="95" t="s">
        <v>56</v>
      </c>
      <c r="E26" s="35">
        <v>1</v>
      </c>
      <c r="F26" s="36">
        <v>0</v>
      </c>
      <c r="G26" s="37">
        <f t="shared" si="10"/>
        <v>1</v>
      </c>
      <c r="H26" s="38" t="s">
        <v>40</v>
      </c>
      <c r="I26" s="19">
        <v>144</v>
      </c>
      <c r="J26" s="19">
        <f t="shared" si="11"/>
        <v>144</v>
      </c>
      <c r="K26" s="31">
        <v>0.64780000000000004</v>
      </c>
      <c r="L26" s="19">
        <f t="shared" si="12"/>
        <v>60</v>
      </c>
      <c r="M26" s="32">
        <f t="shared" si="13"/>
        <v>0.64780000000000004</v>
      </c>
      <c r="N26" s="11">
        <f t="shared" si="14"/>
        <v>38.868000000000002</v>
      </c>
      <c r="O26" s="11">
        <f t="shared" si="15"/>
        <v>182.86799999999999</v>
      </c>
      <c r="P26" s="54"/>
      <c r="Q26" s="39"/>
      <c r="R26" s="39"/>
      <c r="U26" s="41"/>
    </row>
    <row r="27" spans="1:21" s="40" customFormat="1">
      <c r="A27" s="33">
        <f>IF(H27&lt;&gt;"",1+MAX($A$5:A26),"")</f>
        <v>18</v>
      </c>
      <c r="B27" s="79"/>
      <c r="C27" s="112"/>
      <c r="D27" s="95" t="s">
        <v>57</v>
      </c>
      <c r="E27" s="35">
        <v>1</v>
      </c>
      <c r="F27" s="36">
        <v>0</v>
      </c>
      <c r="G27" s="37">
        <f t="shared" si="10"/>
        <v>1</v>
      </c>
      <c r="H27" s="38" t="s">
        <v>40</v>
      </c>
      <c r="I27" s="19">
        <v>102</v>
      </c>
      <c r="J27" s="19">
        <f t="shared" si="11"/>
        <v>102</v>
      </c>
      <c r="K27" s="31">
        <v>0.4</v>
      </c>
      <c r="L27" s="19">
        <f t="shared" si="12"/>
        <v>60</v>
      </c>
      <c r="M27" s="32">
        <f t="shared" si="13"/>
        <v>0.4</v>
      </c>
      <c r="N27" s="11">
        <f t="shared" si="14"/>
        <v>24</v>
      </c>
      <c r="O27" s="11">
        <f t="shared" si="15"/>
        <v>126</v>
      </c>
      <c r="P27" s="54"/>
      <c r="Q27" s="39"/>
      <c r="R27" s="39"/>
      <c r="U27" s="41"/>
    </row>
    <row r="28" spans="1:21" s="40" customFormat="1">
      <c r="A28" s="33">
        <f>IF(H28&lt;&gt;"",1+MAX($A$5:A27),"")</f>
        <v>19</v>
      </c>
      <c r="B28" s="79"/>
      <c r="C28" s="112"/>
      <c r="D28" s="95" t="s">
        <v>58</v>
      </c>
      <c r="E28" s="35">
        <v>180</v>
      </c>
      <c r="F28" s="36">
        <v>0.1</v>
      </c>
      <c r="G28" s="37">
        <f t="shared" si="10"/>
        <v>198.00000000000003</v>
      </c>
      <c r="H28" s="38" t="s">
        <v>28</v>
      </c>
      <c r="I28" s="19">
        <v>2.4500000000000002</v>
      </c>
      <c r="J28" s="19">
        <f t="shared" si="11"/>
        <v>485.10000000000008</v>
      </c>
      <c r="K28" s="31">
        <v>0.03</v>
      </c>
      <c r="L28" s="19">
        <f t="shared" si="12"/>
        <v>60</v>
      </c>
      <c r="M28" s="32">
        <f t="shared" si="13"/>
        <v>5.94</v>
      </c>
      <c r="N28" s="11">
        <f t="shared" si="14"/>
        <v>356.40000000000003</v>
      </c>
      <c r="O28" s="11">
        <f t="shared" si="15"/>
        <v>841.50000000000011</v>
      </c>
      <c r="P28" s="54"/>
      <c r="Q28" s="39"/>
      <c r="R28" s="39"/>
      <c r="U28" s="41"/>
    </row>
    <row r="29" spans="1:21" s="40" customFormat="1">
      <c r="A29" s="33" t="str">
        <f>IF(H29&lt;&gt;"",1+MAX($A$5:A28),"")</f>
        <v/>
      </c>
      <c r="B29" s="79"/>
      <c r="C29" s="112"/>
      <c r="D29" s="27"/>
      <c r="E29" s="35"/>
      <c r="F29" s="36"/>
      <c r="G29" s="37"/>
      <c r="H29" s="38"/>
      <c r="I29" s="19"/>
      <c r="J29" s="19"/>
      <c r="K29" s="31"/>
      <c r="L29" s="19"/>
      <c r="M29" s="32"/>
      <c r="N29" s="11"/>
      <c r="O29" s="11"/>
      <c r="P29" s="54"/>
      <c r="Q29" s="39"/>
      <c r="R29" s="39"/>
      <c r="U29" s="41"/>
    </row>
    <row r="30" spans="1:21" s="40" customFormat="1">
      <c r="A30" s="33">
        <f>IF(H30&lt;&gt;"",1+MAX($A$5:A29),"")</f>
        <v>20</v>
      </c>
      <c r="B30" s="79"/>
      <c r="C30" s="112"/>
      <c r="D30" s="107" t="s">
        <v>59</v>
      </c>
      <c r="E30" s="108">
        <v>176</v>
      </c>
      <c r="F30" s="109"/>
      <c r="G30" s="110"/>
      <c r="H30" s="111" t="s">
        <v>28</v>
      </c>
      <c r="I30" s="19"/>
      <c r="J30" s="19"/>
      <c r="K30" s="31"/>
      <c r="L30" s="19"/>
      <c r="M30" s="32"/>
      <c r="N30" s="11"/>
      <c r="O30" s="11"/>
      <c r="P30" s="54"/>
      <c r="Q30" s="39"/>
      <c r="R30" s="39"/>
      <c r="U30" s="41"/>
    </row>
    <row r="31" spans="1:21" s="40" customFormat="1">
      <c r="A31" s="33">
        <f>IF(H31&lt;&gt;"",1+MAX($A$5:A30),"")</f>
        <v>21</v>
      </c>
      <c r="B31" s="79"/>
      <c r="C31" s="112"/>
      <c r="D31" s="27" t="s">
        <v>60</v>
      </c>
      <c r="E31" s="35">
        <v>1</v>
      </c>
      <c r="F31" s="36">
        <v>0</v>
      </c>
      <c r="G31" s="37">
        <f>(1+F31)*E31</f>
        <v>1</v>
      </c>
      <c r="H31" s="38" t="s">
        <v>40</v>
      </c>
      <c r="I31" s="19">
        <f>3*7*2*38</f>
        <v>1596</v>
      </c>
      <c r="J31" s="19">
        <f t="shared" ref="J31:J35" si="16">I31*G31</f>
        <v>1596</v>
      </c>
      <c r="K31" s="31">
        <f>0.08*2*3*7</f>
        <v>3.36</v>
      </c>
      <c r="L31" s="19">
        <f t="shared" ref="L31:L35" si="17">$O$6</f>
        <v>60</v>
      </c>
      <c r="M31" s="32">
        <f t="shared" ref="M31:M35" si="18">K31*G31</f>
        <v>3.36</v>
      </c>
      <c r="N31" s="11">
        <f t="shared" ref="N31:N35" si="19">M31*L31</f>
        <v>201.6</v>
      </c>
      <c r="O31" s="11">
        <f t="shared" ref="O31:O35" si="20">N31+J31</f>
        <v>1797.6</v>
      </c>
      <c r="P31" s="54"/>
      <c r="Q31" s="39"/>
      <c r="R31" s="39"/>
      <c r="U31" s="41"/>
    </row>
    <row r="32" spans="1:21" s="40" customFormat="1" ht="31.2">
      <c r="A32" s="33">
        <f>IF(H32&lt;&gt;"",1+MAX($A$5:A31),"")</f>
        <v>22</v>
      </c>
      <c r="B32" s="79"/>
      <c r="C32" s="112"/>
      <c r="D32" s="27" t="s">
        <v>61</v>
      </c>
      <c r="E32" s="35">
        <v>2</v>
      </c>
      <c r="F32" s="36">
        <v>0</v>
      </c>
      <c r="G32" s="37">
        <f>(1+F32)*E32</f>
        <v>2</v>
      </c>
      <c r="H32" s="38" t="s">
        <v>40</v>
      </c>
      <c r="I32" s="19">
        <f>2.5*10*38</f>
        <v>950</v>
      </c>
      <c r="J32" s="19">
        <f t="shared" si="16"/>
        <v>1900</v>
      </c>
      <c r="K32" s="31">
        <f>0.08*2.5*10</f>
        <v>2</v>
      </c>
      <c r="L32" s="19">
        <f t="shared" si="17"/>
        <v>60</v>
      </c>
      <c r="M32" s="32">
        <f t="shared" si="18"/>
        <v>4</v>
      </c>
      <c r="N32" s="11">
        <f t="shared" si="19"/>
        <v>240</v>
      </c>
      <c r="O32" s="11">
        <f t="shared" si="20"/>
        <v>2140</v>
      </c>
      <c r="P32" s="54"/>
      <c r="Q32" s="39"/>
      <c r="R32" s="39"/>
      <c r="U32" s="41"/>
    </row>
    <row r="33" spans="1:21" s="40" customFormat="1" ht="31.2">
      <c r="A33" s="33">
        <f>IF(H33&lt;&gt;"",1+MAX($A$5:A32),"")</f>
        <v>23</v>
      </c>
      <c r="B33" s="79"/>
      <c r="C33" s="112"/>
      <c r="D33" s="27" t="s">
        <v>62</v>
      </c>
      <c r="E33" s="35">
        <v>1</v>
      </c>
      <c r="F33" s="36">
        <v>0</v>
      </c>
      <c r="G33" s="37">
        <f>(1+F33)*E33</f>
        <v>1</v>
      </c>
      <c r="H33" s="38" t="s">
        <v>40</v>
      </c>
      <c r="I33" s="19">
        <f>2.88*10*38</f>
        <v>1094.3999999999999</v>
      </c>
      <c r="J33" s="19">
        <f t="shared" si="16"/>
        <v>1094.3999999999999</v>
      </c>
      <c r="K33" s="31">
        <f>0.08*2.88*10</f>
        <v>2.3039999999999998</v>
      </c>
      <c r="L33" s="19">
        <f t="shared" si="17"/>
        <v>60</v>
      </c>
      <c r="M33" s="32">
        <f t="shared" si="18"/>
        <v>2.3039999999999998</v>
      </c>
      <c r="N33" s="11">
        <f t="shared" si="19"/>
        <v>138.23999999999998</v>
      </c>
      <c r="O33" s="11">
        <f t="shared" si="20"/>
        <v>1232.6399999999999</v>
      </c>
      <c r="P33" s="54"/>
      <c r="Q33" s="39"/>
      <c r="R33" s="39"/>
      <c r="U33" s="41"/>
    </row>
    <row r="34" spans="1:21" s="40" customFormat="1" ht="31.2">
      <c r="A34" s="33">
        <f>IF(H34&lt;&gt;"",1+MAX($A$5:A33),"")</f>
        <v>24</v>
      </c>
      <c r="B34" s="79"/>
      <c r="C34" s="112"/>
      <c r="D34" s="27" t="s">
        <v>63</v>
      </c>
      <c r="E34" s="35">
        <v>1</v>
      </c>
      <c r="F34" s="36">
        <v>0</v>
      </c>
      <c r="G34" s="37">
        <f>(1+F34)*E34</f>
        <v>1</v>
      </c>
      <c r="H34" s="38" t="s">
        <v>40</v>
      </c>
      <c r="I34" s="19">
        <f>3.66*10*38</f>
        <v>1390.8</v>
      </c>
      <c r="J34" s="19">
        <f t="shared" si="16"/>
        <v>1390.8</v>
      </c>
      <c r="K34" s="31">
        <f>0.08*3.66*10</f>
        <v>2.9279999999999999</v>
      </c>
      <c r="L34" s="19">
        <f t="shared" si="17"/>
        <v>60</v>
      </c>
      <c r="M34" s="32">
        <f t="shared" si="18"/>
        <v>2.9279999999999999</v>
      </c>
      <c r="N34" s="11">
        <f t="shared" si="19"/>
        <v>175.68</v>
      </c>
      <c r="O34" s="11">
        <f t="shared" si="20"/>
        <v>1566.48</v>
      </c>
      <c r="P34" s="54"/>
      <c r="Q34" s="39"/>
      <c r="R34" s="39"/>
      <c r="U34" s="41"/>
    </row>
    <row r="35" spans="1:21" s="40" customFormat="1" ht="31.2">
      <c r="A35" s="33">
        <f>IF(H35&lt;&gt;"",1+MAX($A$5:A34),"")</f>
        <v>25</v>
      </c>
      <c r="B35" s="79"/>
      <c r="C35" s="112"/>
      <c r="D35" s="27" t="s">
        <v>64</v>
      </c>
      <c r="E35" s="35">
        <v>1</v>
      </c>
      <c r="F35" s="36">
        <v>0</v>
      </c>
      <c r="G35" s="37">
        <f>(1+F35)*E35</f>
        <v>1</v>
      </c>
      <c r="H35" s="38" t="s">
        <v>40</v>
      </c>
      <c r="I35" s="19">
        <f>6*3*38</f>
        <v>684</v>
      </c>
      <c r="J35" s="19">
        <f t="shared" si="16"/>
        <v>684</v>
      </c>
      <c r="K35" s="31">
        <f>6*3*0.08</f>
        <v>1.44</v>
      </c>
      <c r="L35" s="19">
        <f t="shared" si="17"/>
        <v>60</v>
      </c>
      <c r="M35" s="32">
        <f t="shared" si="18"/>
        <v>1.44</v>
      </c>
      <c r="N35" s="11">
        <f t="shared" si="19"/>
        <v>86.399999999999991</v>
      </c>
      <c r="O35" s="11">
        <f t="shared" si="20"/>
        <v>770.4</v>
      </c>
      <c r="P35" s="54"/>
      <c r="Q35" s="39"/>
      <c r="R35" s="39"/>
      <c r="U35" s="41"/>
    </row>
    <row r="36" spans="1:21" s="40" customFormat="1">
      <c r="A36" s="33" t="str">
        <f>IF(H36&lt;&gt;"",1+MAX($A$5:A35),"")</f>
        <v/>
      </c>
      <c r="B36" s="79"/>
      <c r="C36" s="112"/>
      <c r="D36" s="27"/>
      <c r="E36" s="35"/>
      <c r="F36" s="36"/>
      <c r="G36" s="37"/>
      <c r="H36" s="38"/>
      <c r="I36" s="19"/>
      <c r="J36" s="19"/>
      <c r="K36" s="31"/>
      <c r="L36" s="19"/>
      <c r="M36" s="32"/>
      <c r="N36" s="11"/>
      <c r="O36" s="11"/>
      <c r="P36" s="54"/>
      <c r="Q36" s="39"/>
      <c r="R36" s="39"/>
      <c r="U36" s="41"/>
    </row>
    <row r="37" spans="1:21" s="40" customFormat="1">
      <c r="A37" s="33" t="str">
        <f>IF(H37&lt;&gt;"",1+MAX($A$5:A36),"")</f>
        <v/>
      </c>
      <c r="B37" s="79"/>
      <c r="C37" s="112"/>
      <c r="D37" s="94" t="s">
        <v>65</v>
      </c>
      <c r="E37" s="35"/>
      <c r="F37" s="36"/>
      <c r="G37" s="37"/>
      <c r="H37" s="38"/>
      <c r="I37" s="19"/>
      <c r="J37" s="19"/>
      <c r="K37" s="31"/>
      <c r="L37" s="19"/>
      <c r="M37" s="32"/>
      <c r="N37" s="11"/>
      <c r="O37" s="11"/>
      <c r="P37" s="54"/>
      <c r="Q37" s="39"/>
      <c r="R37" s="39"/>
      <c r="U37" s="41"/>
    </row>
    <row r="38" spans="1:21" s="40" customFormat="1">
      <c r="A38" s="33">
        <f>IF(H38&lt;&gt;"",1+MAX($A$5:A37),"")</f>
        <v>26</v>
      </c>
      <c r="B38" s="79"/>
      <c r="C38" s="112"/>
      <c r="D38" s="95" t="s">
        <v>48</v>
      </c>
      <c r="E38" s="35">
        <v>2</v>
      </c>
      <c r="F38" s="36">
        <v>0</v>
      </c>
      <c r="G38" s="37">
        <f t="shared" ref="G38:G44" si="21">(1+F38)*E38</f>
        <v>2</v>
      </c>
      <c r="H38" s="38" t="s">
        <v>40</v>
      </c>
      <c r="I38" s="19">
        <v>36.950000000000003</v>
      </c>
      <c r="J38" s="19">
        <f t="shared" ref="J38:J41" si="22">I38*G38</f>
        <v>73.900000000000006</v>
      </c>
      <c r="K38" s="31">
        <v>0.34399999999999997</v>
      </c>
      <c r="L38" s="19">
        <f t="shared" ref="L38:L44" si="23">$O$6</f>
        <v>60</v>
      </c>
      <c r="M38" s="32">
        <f t="shared" ref="M38:M44" si="24">K38*G38</f>
        <v>0.68799999999999994</v>
      </c>
      <c r="N38" s="11">
        <f t="shared" ref="N38:N44" si="25">M38*L38</f>
        <v>41.279999999999994</v>
      </c>
      <c r="O38" s="11">
        <f t="shared" ref="O38:O44" si="26">N38+J38</f>
        <v>115.18</v>
      </c>
      <c r="P38" s="54"/>
      <c r="Q38" s="39"/>
      <c r="R38" s="39"/>
      <c r="U38" s="41"/>
    </row>
    <row r="39" spans="1:21" s="40" customFormat="1">
      <c r="A39" s="33">
        <f>IF(H39&lt;&gt;"",1+MAX($A$5:A38),"")</f>
        <v>27</v>
      </c>
      <c r="B39" s="79"/>
      <c r="C39" s="112"/>
      <c r="D39" s="95" t="s">
        <v>49</v>
      </c>
      <c r="E39" s="35">
        <v>2</v>
      </c>
      <c r="F39" s="36">
        <v>0</v>
      </c>
      <c r="G39" s="37">
        <f t="shared" si="21"/>
        <v>2</v>
      </c>
      <c r="H39" s="38" t="s">
        <v>40</v>
      </c>
      <c r="I39" s="19">
        <v>29.56</v>
      </c>
      <c r="J39" s="19">
        <f t="shared" si="22"/>
        <v>59.12</v>
      </c>
      <c r="K39" s="31">
        <v>0.4</v>
      </c>
      <c r="L39" s="19">
        <f t="shared" si="23"/>
        <v>60</v>
      </c>
      <c r="M39" s="32">
        <f t="shared" si="24"/>
        <v>0.8</v>
      </c>
      <c r="N39" s="11">
        <f t="shared" si="25"/>
        <v>48</v>
      </c>
      <c r="O39" s="11">
        <f t="shared" si="26"/>
        <v>107.12</v>
      </c>
      <c r="P39" s="54"/>
      <c r="Q39" s="39"/>
      <c r="R39" s="39"/>
      <c r="U39" s="41"/>
    </row>
    <row r="40" spans="1:21" s="40" customFormat="1">
      <c r="A40" s="33">
        <f>IF(H40&lt;&gt;"",1+MAX($A$5:A39),"")</f>
        <v>28</v>
      </c>
      <c r="B40" s="79"/>
      <c r="C40" s="112"/>
      <c r="D40" s="95" t="s">
        <v>50</v>
      </c>
      <c r="E40" s="35">
        <v>1</v>
      </c>
      <c r="F40" s="36">
        <v>0</v>
      </c>
      <c r="G40" s="37">
        <f t="shared" si="21"/>
        <v>1</v>
      </c>
      <c r="H40" s="38" t="s">
        <v>40</v>
      </c>
      <c r="I40" s="19">
        <v>222</v>
      </c>
      <c r="J40" s="19">
        <f t="shared" si="22"/>
        <v>222</v>
      </c>
      <c r="K40" s="31">
        <v>0.86</v>
      </c>
      <c r="L40" s="19">
        <f t="shared" si="23"/>
        <v>60</v>
      </c>
      <c r="M40" s="32">
        <f t="shared" si="24"/>
        <v>0.86</v>
      </c>
      <c r="N40" s="11">
        <f t="shared" si="25"/>
        <v>51.6</v>
      </c>
      <c r="O40" s="11">
        <f t="shared" si="26"/>
        <v>273.60000000000002</v>
      </c>
      <c r="P40" s="54"/>
      <c r="Q40" s="39"/>
      <c r="R40" s="39"/>
      <c r="U40" s="41"/>
    </row>
    <row r="41" spans="1:21" s="40" customFormat="1">
      <c r="A41" s="33">
        <f>IF(H41&lt;&gt;"",1+MAX($A$5:A40),"")</f>
        <v>29</v>
      </c>
      <c r="B41" s="79"/>
      <c r="C41" s="112"/>
      <c r="D41" s="95" t="s">
        <v>51</v>
      </c>
      <c r="E41" s="35">
        <v>1</v>
      </c>
      <c r="F41" s="36">
        <v>0</v>
      </c>
      <c r="G41" s="37">
        <f t="shared" si="21"/>
        <v>1</v>
      </c>
      <c r="H41" s="38" t="s">
        <v>40</v>
      </c>
      <c r="I41" s="19">
        <v>222</v>
      </c>
      <c r="J41" s="19">
        <f t="shared" si="22"/>
        <v>222</v>
      </c>
      <c r="K41" s="31">
        <v>0.86</v>
      </c>
      <c r="L41" s="19">
        <f t="shared" si="23"/>
        <v>60</v>
      </c>
      <c r="M41" s="32">
        <f t="shared" si="24"/>
        <v>0.86</v>
      </c>
      <c r="N41" s="11">
        <f t="shared" si="25"/>
        <v>51.6</v>
      </c>
      <c r="O41" s="11">
        <f t="shared" si="26"/>
        <v>273.60000000000002</v>
      </c>
      <c r="P41" s="54"/>
      <c r="Q41" s="39"/>
      <c r="R41" s="39"/>
      <c r="U41" s="41"/>
    </row>
    <row r="42" spans="1:21" s="40" customFormat="1">
      <c r="A42" s="33">
        <f>IF(H42&lt;&gt;"",1+MAX($A$5:A41),"")</f>
        <v>30</v>
      </c>
      <c r="B42" s="79"/>
      <c r="C42" s="112"/>
      <c r="D42" s="95" t="s">
        <v>66</v>
      </c>
      <c r="E42" s="35">
        <v>1</v>
      </c>
      <c r="F42" s="36">
        <v>0</v>
      </c>
      <c r="G42" s="37">
        <f t="shared" si="21"/>
        <v>1</v>
      </c>
      <c r="H42" s="38" t="s">
        <v>40</v>
      </c>
      <c r="I42" s="19">
        <v>368</v>
      </c>
      <c r="J42" s="19">
        <f t="shared" ref="J42:J44" si="27">I42*G42</f>
        <v>368</v>
      </c>
      <c r="K42" s="31">
        <v>1.44</v>
      </c>
      <c r="L42" s="19">
        <f t="shared" si="23"/>
        <v>60</v>
      </c>
      <c r="M42" s="32">
        <f t="shared" si="24"/>
        <v>1.44</v>
      </c>
      <c r="N42" s="11">
        <f t="shared" si="25"/>
        <v>86.399999999999991</v>
      </c>
      <c r="O42" s="11">
        <f t="shared" si="26"/>
        <v>454.4</v>
      </c>
      <c r="P42" s="54"/>
      <c r="Q42" s="39"/>
      <c r="R42" s="39"/>
      <c r="U42" s="41"/>
    </row>
    <row r="43" spans="1:21" s="40" customFormat="1">
      <c r="A43" s="33">
        <f>IF(H43&lt;&gt;"",1+MAX($A$5:A42),"")</f>
        <v>31</v>
      </c>
      <c r="B43" s="79"/>
      <c r="C43" s="112"/>
      <c r="D43" s="95" t="s">
        <v>56</v>
      </c>
      <c r="E43" s="35">
        <v>1</v>
      </c>
      <c r="F43" s="36">
        <v>0</v>
      </c>
      <c r="G43" s="37">
        <f t="shared" si="21"/>
        <v>1</v>
      </c>
      <c r="H43" s="38" t="s">
        <v>40</v>
      </c>
      <c r="I43" s="19">
        <v>144</v>
      </c>
      <c r="J43" s="19">
        <f t="shared" si="27"/>
        <v>144</v>
      </c>
      <c r="K43" s="31">
        <v>0.64780000000000004</v>
      </c>
      <c r="L43" s="19">
        <f t="shared" si="23"/>
        <v>60</v>
      </c>
      <c r="M43" s="32">
        <f t="shared" si="24"/>
        <v>0.64780000000000004</v>
      </c>
      <c r="N43" s="11">
        <f t="shared" si="25"/>
        <v>38.868000000000002</v>
      </c>
      <c r="O43" s="11">
        <f t="shared" si="26"/>
        <v>182.86799999999999</v>
      </c>
      <c r="P43" s="54"/>
      <c r="Q43" s="39"/>
      <c r="R43" s="39"/>
      <c r="U43" s="41"/>
    </row>
    <row r="44" spans="1:21" s="40" customFormat="1">
      <c r="A44" s="33">
        <f>IF(H44&lt;&gt;"",1+MAX($A$5:A43),"")</f>
        <v>32</v>
      </c>
      <c r="B44" s="79"/>
      <c r="C44" s="112"/>
      <c r="D44" s="95" t="s">
        <v>57</v>
      </c>
      <c r="E44" s="35">
        <v>1</v>
      </c>
      <c r="F44" s="36">
        <v>0</v>
      </c>
      <c r="G44" s="37">
        <f t="shared" si="21"/>
        <v>1</v>
      </c>
      <c r="H44" s="38" t="s">
        <v>40</v>
      </c>
      <c r="I44" s="19">
        <v>102</v>
      </c>
      <c r="J44" s="19">
        <f t="shared" si="27"/>
        <v>102</v>
      </c>
      <c r="K44" s="31">
        <v>0.4</v>
      </c>
      <c r="L44" s="19">
        <f t="shared" si="23"/>
        <v>60</v>
      </c>
      <c r="M44" s="32">
        <f t="shared" si="24"/>
        <v>0.4</v>
      </c>
      <c r="N44" s="11">
        <f t="shared" si="25"/>
        <v>24</v>
      </c>
      <c r="O44" s="11">
        <f t="shared" si="26"/>
        <v>126</v>
      </c>
      <c r="P44" s="54"/>
      <c r="Q44" s="39"/>
      <c r="R44" s="39"/>
      <c r="U44" s="41"/>
    </row>
    <row r="45" spans="1:21" s="40" customFormat="1">
      <c r="A45" s="33" t="str">
        <f>IF(H45&lt;&gt;"",1+MAX($A$5:A44),"")</f>
        <v/>
      </c>
      <c r="B45" s="79"/>
      <c r="C45" s="112"/>
      <c r="D45" s="27"/>
      <c r="E45" s="35"/>
      <c r="F45" s="36"/>
      <c r="G45" s="37"/>
      <c r="H45" s="38"/>
      <c r="I45" s="19"/>
      <c r="J45" s="19"/>
      <c r="K45" s="31"/>
      <c r="L45" s="19"/>
      <c r="M45" s="32"/>
      <c r="N45" s="11"/>
      <c r="O45" s="11"/>
      <c r="P45" s="54"/>
      <c r="Q45" s="39"/>
      <c r="R45" s="39"/>
      <c r="U45" s="41"/>
    </row>
    <row r="46" spans="1:21" s="40" customFormat="1">
      <c r="A46" s="33">
        <f>IF(H46&lt;&gt;"",1+MAX($A$5:A45),"")</f>
        <v>33</v>
      </c>
      <c r="B46" s="79"/>
      <c r="C46" s="112"/>
      <c r="D46" s="107" t="s">
        <v>67</v>
      </c>
      <c r="E46" s="108">
        <v>112</v>
      </c>
      <c r="F46" s="109"/>
      <c r="G46" s="110"/>
      <c r="H46" s="111" t="s">
        <v>28</v>
      </c>
      <c r="I46" s="19"/>
      <c r="J46" s="19"/>
      <c r="K46" s="31"/>
      <c r="L46" s="19"/>
      <c r="M46" s="32"/>
      <c r="N46" s="11"/>
      <c r="O46" s="11"/>
      <c r="P46" s="54"/>
      <c r="Q46" s="39"/>
      <c r="R46" s="39"/>
      <c r="U46" s="41"/>
    </row>
    <row r="47" spans="1:21" s="40" customFormat="1">
      <c r="A47" s="33">
        <f>IF(H47&lt;&gt;"",1+MAX($A$5:A46),"")</f>
        <v>34</v>
      </c>
      <c r="B47" s="79"/>
      <c r="C47" s="112"/>
      <c r="D47" s="27" t="s">
        <v>68</v>
      </c>
      <c r="E47" s="35">
        <v>1</v>
      </c>
      <c r="F47" s="36">
        <v>0</v>
      </c>
      <c r="G47" s="37">
        <f>(1+F47)*E47</f>
        <v>1</v>
      </c>
      <c r="H47" s="38" t="s">
        <v>40</v>
      </c>
      <c r="I47" s="19">
        <f>2*3*8*38</f>
        <v>1824</v>
      </c>
      <c r="J47" s="19">
        <f t="shared" ref="J47:J48" si="28">I47*G47</f>
        <v>1824</v>
      </c>
      <c r="K47" s="31">
        <f>2*3*8*0.08</f>
        <v>3.84</v>
      </c>
      <c r="L47" s="19">
        <f t="shared" ref="L47:L48" si="29">$O$6</f>
        <v>60</v>
      </c>
      <c r="M47" s="32">
        <f t="shared" ref="M47:M48" si="30">K47*G47</f>
        <v>3.84</v>
      </c>
      <c r="N47" s="11">
        <f t="shared" ref="N47:N48" si="31">M47*L47</f>
        <v>230.39999999999998</v>
      </c>
      <c r="O47" s="11">
        <f t="shared" ref="O47:O48" si="32">N47+J47</f>
        <v>2054.4</v>
      </c>
      <c r="P47" s="54"/>
      <c r="Q47" s="39"/>
      <c r="R47" s="39"/>
      <c r="U47" s="41"/>
    </row>
    <row r="48" spans="1:21" s="40" customFormat="1" ht="31.2">
      <c r="A48" s="33">
        <f>IF(H48&lt;&gt;"",1+MAX($A$5:A47),"")</f>
        <v>35</v>
      </c>
      <c r="B48" s="79"/>
      <c r="C48" s="112"/>
      <c r="D48" s="27" t="s">
        <v>69</v>
      </c>
      <c r="E48" s="35">
        <v>2</v>
      </c>
      <c r="F48" s="36">
        <v>0</v>
      </c>
      <c r="G48" s="37">
        <f>(1+F48)*E48</f>
        <v>2</v>
      </c>
      <c r="H48" s="38" t="s">
        <v>40</v>
      </c>
      <c r="I48" s="19">
        <f>4*8*38</f>
        <v>1216</v>
      </c>
      <c r="J48" s="19">
        <f t="shared" si="28"/>
        <v>2432</v>
      </c>
      <c r="K48" s="31">
        <f>0.08*4*8</f>
        <v>2.56</v>
      </c>
      <c r="L48" s="19">
        <f t="shared" si="29"/>
        <v>60</v>
      </c>
      <c r="M48" s="32">
        <f t="shared" si="30"/>
        <v>5.12</v>
      </c>
      <c r="N48" s="11">
        <f t="shared" si="31"/>
        <v>307.2</v>
      </c>
      <c r="O48" s="11">
        <f t="shared" si="32"/>
        <v>2739.2</v>
      </c>
      <c r="P48" s="54"/>
      <c r="Q48" s="39"/>
      <c r="R48" s="39"/>
      <c r="U48" s="41"/>
    </row>
    <row r="49" spans="1:21" s="40" customFormat="1">
      <c r="A49" s="33" t="str">
        <f>IF(H49&lt;&gt;"",1+MAX($A$5:A48),"")</f>
        <v/>
      </c>
      <c r="B49" s="79"/>
      <c r="C49" s="112"/>
      <c r="D49" s="27"/>
      <c r="E49" s="35"/>
      <c r="F49" s="36"/>
      <c r="G49" s="37"/>
      <c r="H49" s="38"/>
      <c r="I49" s="19"/>
      <c r="J49" s="19"/>
      <c r="K49" s="31"/>
      <c r="L49" s="19"/>
      <c r="M49" s="32"/>
      <c r="N49" s="11"/>
      <c r="O49" s="11"/>
      <c r="P49" s="54"/>
      <c r="Q49" s="39"/>
      <c r="R49" s="39"/>
      <c r="U49" s="41"/>
    </row>
    <row r="50" spans="1:21" s="40" customFormat="1">
      <c r="A50" s="33" t="str">
        <f>IF(H50&lt;&gt;"",1+MAX($A$5:A49),"")</f>
        <v/>
      </c>
      <c r="B50" s="79"/>
      <c r="C50" s="112"/>
      <c r="D50" s="94" t="s">
        <v>70</v>
      </c>
      <c r="E50" s="35"/>
      <c r="F50" s="36"/>
      <c r="G50" s="37"/>
      <c r="H50" s="38"/>
      <c r="I50" s="19"/>
      <c r="J50" s="19"/>
      <c r="K50" s="31"/>
      <c r="L50" s="19"/>
      <c r="M50" s="32"/>
      <c r="N50" s="11"/>
      <c r="O50" s="11"/>
      <c r="P50" s="54"/>
      <c r="Q50" s="39"/>
      <c r="R50" s="39"/>
      <c r="U50" s="41"/>
    </row>
    <row r="51" spans="1:21" s="40" customFormat="1">
      <c r="A51" s="33">
        <f>IF(H51&lt;&gt;"",1+MAX($A$5:A50),"")</f>
        <v>36</v>
      </c>
      <c r="B51" s="79"/>
      <c r="C51" s="112"/>
      <c r="D51" s="95" t="s">
        <v>71</v>
      </c>
      <c r="E51" s="35">
        <v>14</v>
      </c>
      <c r="F51" s="36">
        <v>0</v>
      </c>
      <c r="G51" s="37">
        <f t="shared" ref="G51:G56" si="33">(1+F51)*E51</f>
        <v>14</v>
      </c>
      <c r="H51" s="38" t="s">
        <v>3</v>
      </c>
      <c r="I51" s="19">
        <v>13.44</v>
      </c>
      <c r="J51" s="19">
        <f t="shared" ref="J51:J56" si="34">I51*G51</f>
        <v>188.16</v>
      </c>
      <c r="K51" s="31">
        <v>0.08</v>
      </c>
      <c r="L51" s="19">
        <f t="shared" ref="L51:L56" si="35">$O$6</f>
        <v>60</v>
      </c>
      <c r="M51" s="32">
        <f t="shared" ref="M51:M56" si="36">K51*G51</f>
        <v>1.1200000000000001</v>
      </c>
      <c r="N51" s="11">
        <f t="shared" ref="N51:N56" si="37">M51*L51</f>
        <v>67.2</v>
      </c>
      <c r="O51" s="11">
        <f t="shared" ref="O51:O56" si="38">N51+J51</f>
        <v>255.36</v>
      </c>
      <c r="P51" s="54"/>
      <c r="Q51" s="39"/>
      <c r="R51" s="39"/>
      <c r="U51" s="41"/>
    </row>
    <row r="52" spans="1:21" s="40" customFormat="1" ht="31.2">
      <c r="A52" s="33">
        <f>IF(H52&lt;&gt;"",1+MAX($A$5:A51),"")</f>
        <v>37</v>
      </c>
      <c r="B52" s="79"/>
      <c r="C52" s="112"/>
      <c r="D52" s="95" t="s">
        <v>72</v>
      </c>
      <c r="E52" s="35">
        <v>14</v>
      </c>
      <c r="F52" s="36">
        <v>0</v>
      </c>
      <c r="G52" s="37">
        <f t="shared" si="33"/>
        <v>14</v>
      </c>
      <c r="H52" s="38" t="s">
        <v>3</v>
      </c>
      <c r="I52" s="19">
        <v>8.67</v>
      </c>
      <c r="J52" s="19">
        <f t="shared" si="34"/>
        <v>121.38</v>
      </c>
      <c r="K52" s="31">
        <v>0.05</v>
      </c>
      <c r="L52" s="19">
        <f t="shared" si="35"/>
        <v>60</v>
      </c>
      <c r="M52" s="32">
        <f t="shared" si="36"/>
        <v>0.70000000000000007</v>
      </c>
      <c r="N52" s="11">
        <f t="shared" si="37"/>
        <v>42.000000000000007</v>
      </c>
      <c r="O52" s="11">
        <f t="shared" si="38"/>
        <v>163.38</v>
      </c>
      <c r="P52" s="54"/>
      <c r="Q52" s="39"/>
      <c r="R52" s="39"/>
      <c r="U52" s="41"/>
    </row>
    <row r="53" spans="1:21" s="40" customFormat="1" ht="31.2">
      <c r="A53" s="33">
        <f>IF(H53&lt;&gt;"",1+MAX($A$5:A52),"")</f>
        <v>38</v>
      </c>
      <c r="B53" s="79"/>
      <c r="C53" s="112"/>
      <c r="D53" s="95" t="s">
        <v>73</v>
      </c>
      <c r="E53" s="35">
        <v>6</v>
      </c>
      <c r="F53" s="36">
        <v>0</v>
      </c>
      <c r="G53" s="37">
        <f t="shared" si="33"/>
        <v>6</v>
      </c>
      <c r="H53" s="38" t="s">
        <v>3</v>
      </c>
      <c r="I53" s="19">
        <v>11.3</v>
      </c>
      <c r="J53" s="19">
        <f t="shared" si="34"/>
        <v>67.800000000000011</v>
      </c>
      <c r="K53" s="31">
        <v>0.05</v>
      </c>
      <c r="L53" s="19">
        <f t="shared" si="35"/>
        <v>60</v>
      </c>
      <c r="M53" s="32">
        <f t="shared" si="36"/>
        <v>0.30000000000000004</v>
      </c>
      <c r="N53" s="11">
        <f t="shared" si="37"/>
        <v>18.000000000000004</v>
      </c>
      <c r="O53" s="11">
        <f t="shared" si="38"/>
        <v>85.800000000000011</v>
      </c>
      <c r="P53" s="54"/>
      <c r="Q53" s="39"/>
      <c r="R53" s="39"/>
      <c r="U53" s="41"/>
    </row>
    <row r="54" spans="1:21" s="40" customFormat="1" ht="31.2">
      <c r="A54" s="33">
        <f>IF(H54&lt;&gt;"",1+MAX($A$5:A53),"")</f>
        <v>39</v>
      </c>
      <c r="B54" s="79"/>
      <c r="C54" s="112"/>
      <c r="D54" s="95" t="s">
        <v>74</v>
      </c>
      <c r="E54" s="35">
        <v>6</v>
      </c>
      <c r="F54" s="36">
        <v>0</v>
      </c>
      <c r="G54" s="37">
        <f t="shared" si="33"/>
        <v>6</v>
      </c>
      <c r="H54" s="38" t="s">
        <v>3</v>
      </c>
      <c r="I54" s="19">
        <v>11.3</v>
      </c>
      <c r="J54" s="19">
        <f t="shared" si="34"/>
        <v>67.800000000000011</v>
      </c>
      <c r="K54" s="31">
        <v>0.05</v>
      </c>
      <c r="L54" s="19">
        <f t="shared" si="35"/>
        <v>60</v>
      </c>
      <c r="M54" s="32">
        <f t="shared" si="36"/>
        <v>0.30000000000000004</v>
      </c>
      <c r="N54" s="11">
        <f t="shared" si="37"/>
        <v>18.000000000000004</v>
      </c>
      <c r="O54" s="11">
        <f t="shared" si="38"/>
        <v>85.800000000000011</v>
      </c>
      <c r="P54" s="54"/>
      <c r="Q54" s="39"/>
      <c r="R54" s="39"/>
      <c r="U54" s="41"/>
    </row>
    <row r="55" spans="1:21" s="40" customFormat="1" ht="31.2">
      <c r="A55" s="33">
        <f>IF(H55&lt;&gt;"",1+MAX($A$5:A54),"")</f>
        <v>40</v>
      </c>
      <c r="B55" s="79"/>
      <c r="C55" s="112"/>
      <c r="D55" s="95" t="s">
        <v>75</v>
      </c>
      <c r="E55" s="35">
        <v>2</v>
      </c>
      <c r="F55" s="36">
        <v>0</v>
      </c>
      <c r="G55" s="37">
        <f t="shared" si="33"/>
        <v>2</v>
      </c>
      <c r="H55" s="38" t="s">
        <v>40</v>
      </c>
      <c r="I55" s="19">
        <v>288</v>
      </c>
      <c r="J55" s="19">
        <f t="shared" si="34"/>
        <v>576</v>
      </c>
      <c r="K55" s="31">
        <v>1.33</v>
      </c>
      <c r="L55" s="19">
        <f t="shared" si="35"/>
        <v>60</v>
      </c>
      <c r="M55" s="32">
        <f t="shared" si="36"/>
        <v>2.66</v>
      </c>
      <c r="N55" s="11">
        <f t="shared" si="37"/>
        <v>159.60000000000002</v>
      </c>
      <c r="O55" s="11">
        <f t="shared" si="38"/>
        <v>735.6</v>
      </c>
      <c r="P55" s="54"/>
      <c r="Q55" s="39"/>
      <c r="R55" s="39"/>
      <c r="U55" s="41"/>
    </row>
    <row r="56" spans="1:21" s="40" customFormat="1" ht="31.2">
      <c r="A56" s="33">
        <f>IF(H56&lt;&gt;"",1+MAX($A$5:A55),"")</f>
        <v>41</v>
      </c>
      <c r="B56" s="79"/>
      <c r="C56" s="112"/>
      <c r="D56" s="95" t="s">
        <v>76</v>
      </c>
      <c r="E56" s="35">
        <v>2</v>
      </c>
      <c r="F56" s="36">
        <v>0</v>
      </c>
      <c r="G56" s="37">
        <f t="shared" si="33"/>
        <v>2</v>
      </c>
      <c r="H56" s="38" t="s">
        <v>40</v>
      </c>
      <c r="I56" s="19">
        <v>189</v>
      </c>
      <c r="J56" s="19">
        <f t="shared" si="34"/>
        <v>378</v>
      </c>
      <c r="K56" s="31">
        <v>1.2</v>
      </c>
      <c r="L56" s="19">
        <f t="shared" si="35"/>
        <v>60</v>
      </c>
      <c r="M56" s="32">
        <f t="shared" si="36"/>
        <v>2.4</v>
      </c>
      <c r="N56" s="11">
        <f t="shared" si="37"/>
        <v>144</v>
      </c>
      <c r="O56" s="11">
        <f t="shared" si="38"/>
        <v>522</v>
      </c>
      <c r="P56" s="54"/>
      <c r="Q56" s="39"/>
      <c r="R56" s="39"/>
      <c r="U56" s="41"/>
    </row>
    <row r="57" spans="1:21" s="40" customFormat="1">
      <c r="A57" s="33" t="str">
        <f>IF(H57&lt;&gt;"",1+MAX($A$5:A56),"")</f>
        <v/>
      </c>
      <c r="B57" s="79"/>
      <c r="C57" s="112"/>
      <c r="D57" s="27"/>
      <c r="E57" s="35"/>
      <c r="F57" s="36"/>
      <c r="G57" s="37"/>
      <c r="H57" s="38"/>
      <c r="I57" s="19"/>
      <c r="J57" s="19"/>
      <c r="K57" s="31"/>
      <c r="L57" s="19"/>
      <c r="M57" s="32"/>
      <c r="N57" s="11"/>
      <c r="O57" s="11"/>
      <c r="P57" s="54"/>
      <c r="Q57" s="39"/>
      <c r="R57" s="39"/>
      <c r="U57" s="41"/>
    </row>
    <row r="58" spans="1:21" s="40" customFormat="1">
      <c r="A58" s="33" t="str">
        <f>IF(H58&lt;&gt;"",1+MAX($A$5:A57),"")</f>
        <v/>
      </c>
      <c r="B58" s="79"/>
      <c r="C58" s="112"/>
      <c r="D58" s="75" t="s">
        <v>77</v>
      </c>
      <c r="E58" s="35"/>
      <c r="F58" s="36"/>
      <c r="G58" s="37"/>
      <c r="H58" s="38"/>
      <c r="I58" s="19"/>
      <c r="J58" s="19"/>
      <c r="K58" s="31"/>
      <c r="L58" s="19"/>
      <c r="M58" s="32"/>
      <c r="N58" s="11"/>
      <c r="O58" s="11"/>
      <c r="P58" s="54"/>
      <c r="Q58" s="39"/>
      <c r="R58" s="39"/>
      <c r="U58" s="41"/>
    </row>
    <row r="59" spans="1:21" s="40" customFormat="1">
      <c r="A59" s="33">
        <f>IF(H59&lt;&gt;"",1+MAX($A$5:A58),"")</f>
        <v>42</v>
      </c>
      <c r="B59" s="79"/>
      <c r="C59" s="112"/>
      <c r="D59" s="27" t="s">
        <v>78</v>
      </c>
      <c r="E59" s="35">
        <v>1</v>
      </c>
      <c r="F59" s="36">
        <v>0</v>
      </c>
      <c r="G59" s="37">
        <f>(1+F59)*E59</f>
        <v>1</v>
      </c>
      <c r="H59" s="38" t="s">
        <v>40</v>
      </c>
      <c r="I59" s="19">
        <f>3*7*38</f>
        <v>798</v>
      </c>
      <c r="J59" s="19">
        <f t="shared" ref="J59:J60" si="39">I59*G59</f>
        <v>798</v>
      </c>
      <c r="K59" s="31">
        <f>0.08*3*7</f>
        <v>1.68</v>
      </c>
      <c r="L59" s="19">
        <f t="shared" ref="L59:L60" si="40">$O$6</f>
        <v>60</v>
      </c>
      <c r="M59" s="32">
        <f t="shared" ref="M59:M60" si="41">K59*G59</f>
        <v>1.68</v>
      </c>
      <c r="N59" s="11">
        <f t="shared" ref="N59:N60" si="42">M59*L59</f>
        <v>100.8</v>
      </c>
      <c r="O59" s="11">
        <f t="shared" ref="O59:O60" si="43">N59+J59</f>
        <v>898.8</v>
      </c>
      <c r="P59" s="54"/>
      <c r="Q59" s="39"/>
      <c r="R59" s="39"/>
      <c r="U59" s="41"/>
    </row>
    <row r="60" spans="1:21" s="40" customFormat="1">
      <c r="A60" s="33">
        <f>IF(H60&lt;&gt;"",1+MAX($A$5:A59),"")</f>
        <v>43</v>
      </c>
      <c r="B60" s="79"/>
      <c r="C60" s="112"/>
      <c r="D60" s="27" t="s">
        <v>79</v>
      </c>
      <c r="E60" s="35">
        <v>1</v>
      </c>
      <c r="F60" s="36">
        <v>0</v>
      </c>
      <c r="G60" s="37">
        <f>(1+F60)*E60</f>
        <v>1</v>
      </c>
      <c r="H60" s="38" t="s">
        <v>40</v>
      </c>
      <c r="I60" s="19">
        <f>3*7*38</f>
        <v>798</v>
      </c>
      <c r="J60" s="19">
        <f t="shared" si="39"/>
        <v>798</v>
      </c>
      <c r="K60" s="31">
        <f>0.08*3*7</f>
        <v>1.68</v>
      </c>
      <c r="L60" s="19">
        <f t="shared" si="40"/>
        <v>60</v>
      </c>
      <c r="M60" s="32">
        <f t="shared" si="41"/>
        <v>1.68</v>
      </c>
      <c r="N60" s="11">
        <f t="shared" si="42"/>
        <v>100.8</v>
      </c>
      <c r="O60" s="11">
        <f t="shared" si="43"/>
        <v>898.8</v>
      </c>
      <c r="P60" s="54"/>
      <c r="Q60" s="39"/>
      <c r="R60" s="39"/>
      <c r="U60" s="41"/>
    </row>
    <row r="61" spans="1:21" s="40" customFormat="1">
      <c r="A61" s="33" t="str">
        <f>IF(H61&lt;&gt;"",1+MAX($A$5:A60),"")</f>
        <v/>
      </c>
      <c r="B61" s="79"/>
      <c r="C61" s="112"/>
      <c r="D61" s="27"/>
      <c r="E61" s="35"/>
      <c r="F61" s="36"/>
      <c r="G61" s="37"/>
      <c r="H61" s="38"/>
      <c r="I61" s="19"/>
      <c r="J61" s="19"/>
      <c r="K61" s="31"/>
      <c r="L61" s="19"/>
      <c r="M61" s="32"/>
      <c r="N61" s="11"/>
      <c r="O61" s="11"/>
      <c r="P61" s="54"/>
      <c r="Q61" s="39"/>
      <c r="R61" s="39"/>
      <c r="U61" s="41"/>
    </row>
    <row r="62" spans="1:21" s="40" customFormat="1">
      <c r="A62" s="33" t="str">
        <f>IF(H62&lt;&gt;"",1+MAX($A$5:A61),"")</f>
        <v/>
      </c>
      <c r="B62" s="79"/>
      <c r="C62" s="112"/>
      <c r="D62" s="94" t="s">
        <v>70</v>
      </c>
      <c r="E62" s="35"/>
      <c r="F62" s="36"/>
      <c r="G62" s="37"/>
      <c r="H62" s="38"/>
      <c r="I62" s="19"/>
      <c r="J62" s="19"/>
      <c r="K62" s="31"/>
      <c r="L62" s="19"/>
      <c r="M62" s="32"/>
      <c r="N62" s="11"/>
      <c r="O62" s="11"/>
      <c r="P62" s="54"/>
      <c r="Q62" s="39"/>
      <c r="R62" s="39"/>
      <c r="U62" s="41"/>
    </row>
    <row r="63" spans="1:21" s="40" customFormat="1" ht="31.2">
      <c r="A63" s="33">
        <f>IF(H63&lt;&gt;"",1+MAX($A$5:A62),"")</f>
        <v>44</v>
      </c>
      <c r="B63" s="79"/>
      <c r="C63" s="112"/>
      <c r="D63" s="95" t="s">
        <v>72</v>
      </c>
      <c r="E63" s="35">
        <v>6</v>
      </c>
      <c r="F63" s="36">
        <v>0</v>
      </c>
      <c r="G63" s="37">
        <f>(1+F63)*E63</f>
        <v>6</v>
      </c>
      <c r="H63" s="38" t="s">
        <v>3</v>
      </c>
      <c r="I63" s="19">
        <v>8.67</v>
      </c>
      <c r="J63" s="19">
        <f t="shared" ref="J63:J67" si="44">I63*G63</f>
        <v>52.019999999999996</v>
      </c>
      <c r="K63" s="31">
        <v>0.05</v>
      </c>
      <c r="L63" s="19">
        <f t="shared" ref="L63:L67" si="45">$O$6</f>
        <v>60</v>
      </c>
      <c r="M63" s="32">
        <f t="shared" ref="M63:M67" si="46">K63*G63</f>
        <v>0.30000000000000004</v>
      </c>
      <c r="N63" s="11">
        <f t="shared" ref="N63:N67" si="47">M63*L63</f>
        <v>18.000000000000004</v>
      </c>
      <c r="O63" s="11">
        <f t="shared" ref="O63:O67" si="48">N63+J63</f>
        <v>70.02</v>
      </c>
      <c r="P63" s="54"/>
      <c r="Q63" s="39"/>
      <c r="R63" s="39"/>
      <c r="U63" s="41"/>
    </row>
    <row r="64" spans="1:21" s="40" customFormat="1" ht="31.2">
      <c r="A64" s="33">
        <f>IF(H64&lt;&gt;"",1+MAX($A$5:A63),"")</f>
        <v>45</v>
      </c>
      <c r="B64" s="79"/>
      <c r="C64" s="112"/>
      <c r="D64" s="95" t="s">
        <v>73</v>
      </c>
      <c r="E64" s="35">
        <v>6</v>
      </c>
      <c r="F64" s="36">
        <v>0</v>
      </c>
      <c r="G64" s="37">
        <f>(1+F64)*E64</f>
        <v>6</v>
      </c>
      <c r="H64" s="38" t="s">
        <v>3</v>
      </c>
      <c r="I64" s="19">
        <v>11.3</v>
      </c>
      <c r="J64" s="19">
        <f t="shared" si="44"/>
        <v>67.800000000000011</v>
      </c>
      <c r="K64" s="31">
        <v>0.05</v>
      </c>
      <c r="L64" s="19">
        <f t="shared" si="45"/>
        <v>60</v>
      </c>
      <c r="M64" s="32">
        <f t="shared" si="46"/>
        <v>0.30000000000000004</v>
      </c>
      <c r="N64" s="11">
        <f t="shared" si="47"/>
        <v>18.000000000000004</v>
      </c>
      <c r="O64" s="11">
        <f t="shared" si="48"/>
        <v>85.800000000000011</v>
      </c>
      <c r="P64" s="54"/>
      <c r="Q64" s="39"/>
      <c r="R64" s="39"/>
      <c r="U64" s="41"/>
    </row>
    <row r="65" spans="1:21" s="40" customFormat="1" ht="31.2">
      <c r="A65" s="33">
        <f>IF(H65&lt;&gt;"",1+MAX($A$5:A64),"")</f>
        <v>46</v>
      </c>
      <c r="B65" s="79"/>
      <c r="C65" s="112"/>
      <c r="D65" s="95" t="s">
        <v>74</v>
      </c>
      <c r="E65" s="35">
        <v>6</v>
      </c>
      <c r="F65" s="36">
        <v>0</v>
      </c>
      <c r="G65" s="37">
        <f>(1+F65)*E65</f>
        <v>6</v>
      </c>
      <c r="H65" s="38" t="s">
        <v>3</v>
      </c>
      <c r="I65" s="19">
        <v>11.3</v>
      </c>
      <c r="J65" s="19">
        <f t="shared" si="44"/>
        <v>67.800000000000011</v>
      </c>
      <c r="K65" s="31">
        <v>0.05</v>
      </c>
      <c r="L65" s="19">
        <f t="shared" si="45"/>
        <v>60</v>
      </c>
      <c r="M65" s="32">
        <f t="shared" si="46"/>
        <v>0.30000000000000004</v>
      </c>
      <c r="N65" s="11">
        <f t="shared" si="47"/>
        <v>18.000000000000004</v>
      </c>
      <c r="O65" s="11">
        <f t="shared" si="48"/>
        <v>85.800000000000011</v>
      </c>
      <c r="P65" s="54"/>
      <c r="Q65" s="39"/>
      <c r="R65" s="39"/>
      <c r="U65" s="41"/>
    </row>
    <row r="66" spans="1:21" s="40" customFormat="1" ht="31.2">
      <c r="A66" s="33">
        <f>IF(H66&lt;&gt;"",1+MAX($A$5:A65),"")</f>
        <v>47</v>
      </c>
      <c r="B66" s="79"/>
      <c r="C66" s="112"/>
      <c r="D66" s="95" t="s">
        <v>75</v>
      </c>
      <c r="E66" s="35">
        <v>2</v>
      </c>
      <c r="F66" s="36">
        <v>0</v>
      </c>
      <c r="G66" s="37">
        <f>(1+F66)*E66</f>
        <v>2</v>
      </c>
      <c r="H66" s="38" t="s">
        <v>40</v>
      </c>
      <c r="I66" s="19">
        <v>288</v>
      </c>
      <c r="J66" s="19">
        <f t="shared" si="44"/>
        <v>576</v>
      </c>
      <c r="K66" s="31">
        <v>1.33</v>
      </c>
      <c r="L66" s="19">
        <f t="shared" si="45"/>
        <v>60</v>
      </c>
      <c r="M66" s="32">
        <f t="shared" si="46"/>
        <v>2.66</v>
      </c>
      <c r="N66" s="11">
        <f t="shared" si="47"/>
        <v>159.60000000000002</v>
      </c>
      <c r="O66" s="11">
        <f t="shared" si="48"/>
        <v>735.6</v>
      </c>
      <c r="P66" s="54"/>
      <c r="Q66" s="39"/>
      <c r="R66" s="39"/>
      <c r="U66" s="41"/>
    </row>
    <row r="67" spans="1:21" s="40" customFormat="1" ht="31.2">
      <c r="A67" s="33">
        <f>IF(H67&lt;&gt;"",1+MAX($A$5:A66),"")</f>
        <v>48</v>
      </c>
      <c r="B67" s="79"/>
      <c r="C67" s="112"/>
      <c r="D67" s="95" t="s">
        <v>76</v>
      </c>
      <c r="E67" s="35">
        <v>2</v>
      </c>
      <c r="F67" s="36">
        <v>0</v>
      </c>
      <c r="G67" s="37">
        <f>(1+F67)*E67</f>
        <v>2</v>
      </c>
      <c r="H67" s="38" t="s">
        <v>40</v>
      </c>
      <c r="I67" s="19">
        <v>189</v>
      </c>
      <c r="J67" s="19">
        <f t="shared" si="44"/>
        <v>378</v>
      </c>
      <c r="K67" s="31">
        <v>1.2</v>
      </c>
      <c r="L67" s="19">
        <f t="shared" si="45"/>
        <v>60</v>
      </c>
      <c r="M67" s="32">
        <f t="shared" si="46"/>
        <v>2.4</v>
      </c>
      <c r="N67" s="11">
        <f t="shared" si="47"/>
        <v>144</v>
      </c>
      <c r="O67" s="11">
        <f t="shared" si="48"/>
        <v>522</v>
      </c>
      <c r="P67" s="54"/>
      <c r="Q67" s="39"/>
      <c r="R67" s="39"/>
      <c r="U67" s="41"/>
    </row>
    <row r="68" spans="1:21" s="40" customFormat="1">
      <c r="A68" s="33" t="str">
        <f>IF(H68&lt;&gt;"",1+MAX($A$5:A67),"")</f>
        <v/>
      </c>
      <c r="B68" s="79"/>
      <c r="C68" s="69"/>
      <c r="D68" s="27"/>
      <c r="E68" s="35"/>
      <c r="F68" s="36"/>
      <c r="G68" s="37"/>
      <c r="H68" s="38"/>
      <c r="I68" s="19"/>
      <c r="J68" s="19"/>
      <c r="K68" s="31"/>
      <c r="L68" s="19"/>
      <c r="M68" s="32"/>
      <c r="N68" s="11"/>
      <c r="O68" s="11"/>
      <c r="P68" s="54"/>
      <c r="Q68" s="39"/>
      <c r="R68" s="39"/>
      <c r="U68" s="41"/>
    </row>
    <row r="69" spans="1:21" s="3" customFormat="1">
      <c r="A69" s="33" t="str">
        <f>IF(H69&lt;&gt;"",1+MAX($A$5:A68),"")</f>
        <v/>
      </c>
      <c r="B69" s="78"/>
      <c r="C69" s="70"/>
      <c r="D69" s="27"/>
      <c r="E69" s="23"/>
      <c r="F69" s="10"/>
      <c r="G69" s="22"/>
      <c r="H69" s="24"/>
      <c r="I69" s="19"/>
      <c r="J69" s="19"/>
      <c r="K69" s="31"/>
      <c r="L69" s="19"/>
      <c r="M69" s="32"/>
      <c r="N69" s="11"/>
      <c r="O69" s="11"/>
      <c r="P69" s="54"/>
      <c r="Q69" s="2"/>
      <c r="R69" s="2"/>
      <c r="U69" s="14"/>
    </row>
    <row r="70" spans="1:21" s="3" customFormat="1">
      <c r="A70" s="30"/>
      <c r="B70" s="78"/>
      <c r="C70" s="70"/>
      <c r="D70" s="64"/>
      <c r="E70" s="26"/>
      <c r="F70" s="10"/>
      <c r="G70" s="22"/>
      <c r="H70" s="25"/>
      <c r="I70" s="19"/>
      <c r="J70" s="19"/>
      <c r="K70" s="19"/>
      <c r="L70" s="83" t="s">
        <v>21</v>
      </c>
      <c r="M70" s="84">
        <f>SUM(M5:M68)</f>
        <v>91.863600000000019</v>
      </c>
      <c r="N70" s="11"/>
      <c r="O70" s="11"/>
      <c r="P70" s="54"/>
      <c r="Q70" s="2"/>
      <c r="R70" s="2"/>
      <c r="U70" s="14"/>
    </row>
    <row r="71" spans="1:21" ht="16.2" thickBot="1">
      <c r="A71" s="28"/>
      <c r="B71" s="59" t="s">
        <v>22</v>
      </c>
      <c r="C71" s="43"/>
      <c r="D71" s="65"/>
      <c r="E71" s="42"/>
      <c r="F71" s="43"/>
      <c r="G71" s="43"/>
      <c r="H71" s="44"/>
      <c r="I71" s="44"/>
      <c r="J71" s="44"/>
      <c r="K71" s="44"/>
      <c r="L71" s="34"/>
      <c r="M71" s="34"/>
      <c r="N71" s="45"/>
      <c r="O71" s="55"/>
      <c r="P71" s="56">
        <f>SUM(P5:P68)</f>
        <v>39402.916000000005</v>
      </c>
    </row>
    <row r="72" spans="1:21" ht="16.8" thickTop="1" thickBot="1">
      <c r="A72" s="28"/>
      <c r="B72" s="60" t="s">
        <v>23</v>
      </c>
      <c r="C72" s="65"/>
      <c r="D72" s="65"/>
      <c r="E72" s="42"/>
      <c r="F72" s="43"/>
      <c r="G72" s="43"/>
      <c r="H72" s="44"/>
      <c r="I72" s="44"/>
      <c r="J72" s="44"/>
      <c r="K72" s="44"/>
      <c r="L72" s="44"/>
      <c r="M72" s="44"/>
      <c r="N72" s="46">
        <v>0.06</v>
      </c>
      <c r="O72" s="47"/>
      <c r="P72" s="57">
        <f>P71*N72</f>
        <v>2364.1749600000003</v>
      </c>
    </row>
    <row r="73" spans="1:21" ht="16.8" thickTop="1" thickBot="1">
      <c r="A73" s="28"/>
      <c r="B73" s="60" t="s">
        <v>24</v>
      </c>
      <c r="C73" s="65"/>
      <c r="D73" s="65"/>
      <c r="E73" s="42"/>
      <c r="F73" s="43"/>
      <c r="G73" s="43"/>
      <c r="H73" s="44"/>
      <c r="I73" s="44"/>
      <c r="J73" s="44"/>
      <c r="K73" s="44"/>
      <c r="L73" s="44"/>
      <c r="M73" s="44"/>
      <c r="N73" s="48">
        <v>0.25</v>
      </c>
      <c r="O73" s="47"/>
      <c r="P73" s="57">
        <f>P71*N73</f>
        <v>9850.7290000000012</v>
      </c>
    </row>
    <row r="74" spans="1:21" ht="16.8" thickTop="1" thickBot="1">
      <c r="A74" s="28"/>
      <c r="B74" s="61" t="s">
        <v>25</v>
      </c>
      <c r="C74" s="66"/>
      <c r="D74" s="66"/>
      <c r="E74" s="49"/>
      <c r="F74" s="50"/>
      <c r="G74" s="50"/>
      <c r="H74" s="51"/>
      <c r="I74" s="51"/>
      <c r="J74" s="51"/>
      <c r="K74" s="51"/>
      <c r="L74" s="51"/>
      <c r="M74" s="51"/>
      <c r="N74" s="52"/>
      <c r="O74" s="53"/>
      <c r="P74" s="58">
        <f>SUM(P71:P73)</f>
        <v>51617.819960000001</v>
      </c>
    </row>
    <row r="75" spans="1:21" ht="16.2" thickTop="1">
      <c r="A75" s="85"/>
      <c r="B75" s="86"/>
      <c r="C75" s="86"/>
      <c r="D75" s="87"/>
      <c r="E75" s="88"/>
      <c r="F75" s="89"/>
      <c r="G75" s="89"/>
      <c r="H75" s="90"/>
      <c r="I75" s="90"/>
      <c r="J75" s="90"/>
      <c r="K75" s="90"/>
      <c r="L75" s="90"/>
      <c r="M75" s="90"/>
      <c r="N75" s="91"/>
      <c r="O75" s="92"/>
      <c r="P75" s="93"/>
    </row>
    <row r="76" spans="1:21" ht="18" customHeight="1">
      <c r="A76" s="126" t="s">
        <v>29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</row>
    <row r="77" spans="1:21">
      <c r="A77" s="123" t="s">
        <v>30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</row>
    <row r="78" spans="1:21">
      <c r="A78" s="123" t="s">
        <v>31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</row>
    <row r="79" spans="1:21">
      <c r="A79" s="123" t="s">
        <v>35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</row>
    <row r="80" spans="1:21">
      <c r="A80" s="123" t="s">
        <v>32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</row>
    <row r="81" spans="1:16">
      <c r="A81" s="123" t="s">
        <v>34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</row>
    <row r="82" spans="1:16">
      <c r="A82" s="123" t="s">
        <v>33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</row>
  </sheetData>
  <mergeCells count="16">
    <mergeCell ref="A80:P80"/>
    <mergeCell ref="A76:P76"/>
    <mergeCell ref="A81:P81"/>
    <mergeCell ref="A82:P82"/>
    <mergeCell ref="A77:P77"/>
    <mergeCell ref="A78:P78"/>
    <mergeCell ref="A79:P79"/>
    <mergeCell ref="C7:C67"/>
    <mergeCell ref="P2:P3"/>
    <mergeCell ref="A1:B1"/>
    <mergeCell ref="A2:B2"/>
    <mergeCell ref="A3:B3"/>
    <mergeCell ref="D1:N1"/>
    <mergeCell ref="D2:N2"/>
    <mergeCell ref="D3:N3"/>
    <mergeCell ref="O2:O3"/>
  </mergeCells>
  <printOptions horizontalCentered="1"/>
  <pageMargins left="0.43307086614173201" right="0.43307086614173201" top="0.39370078740157499" bottom="0.39370078740157499" header="0.196850393700787" footer="0.196850393700787"/>
  <pageSetup scale="27" fitToHeight="0" orientation="portrait" r:id="rId1"/>
  <headerFooter>
    <oddFooter>&amp;C&amp;P of &amp;N</oddFooter>
  </headerFooter>
  <ignoredErrors>
    <ignoredError sqref="B6:N6 A5:C5 R5:XFD5 E5:O5 P6 R6:XFD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B2A15C9F-EF00-436A-8BE8-B0EB45731E31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 Statement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2023-09-27T15:00:01Z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{B2A15C9F-EF00-436A-8BE8-B0EB45731E31}</vt:lpwstr>
  </property>
</Properties>
</file>