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6087E2DC-39E9-47FF-BB9B-9FFE78EBF3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te Statement" sheetId="11" r:id="rId1"/>
  </sheets>
  <definedNames>
    <definedName name="_xlnm._FilterDatabase" localSheetId="0" hidden="1">'Estimate Statement'!#REF!</definedName>
    <definedName name="_xlnm.Print_Area" localSheetId="0">'Estimate Statement'!$A$1:$P$219</definedName>
    <definedName name="_xlnm.Print_Titles" localSheetId="0">'Estimate Statement'!$4:$4</definedName>
  </definedNames>
  <calcPr calcId="181029"/>
</workbook>
</file>

<file path=xl/calcChain.xml><?xml version="1.0" encoding="utf-8"?>
<calcChain xmlns="http://schemas.openxmlformats.org/spreadsheetml/2006/main">
  <c r="J194" i="11" l="1"/>
  <c r="J186" i="11"/>
  <c r="L150" i="11"/>
  <c r="L147" i="11"/>
  <c r="L146" i="11"/>
  <c r="J127" i="11"/>
  <c r="J93" i="11"/>
  <c r="J89" i="11"/>
  <c r="J39" i="11"/>
  <c r="L204" i="11"/>
  <c r="L203" i="11"/>
  <c r="L202" i="11"/>
  <c r="L197" i="11"/>
  <c r="L194" i="11"/>
  <c r="L191" i="11"/>
  <c r="L186" i="11"/>
  <c r="L183" i="11"/>
  <c r="L178" i="11"/>
  <c r="L173" i="11"/>
  <c r="L169" i="11"/>
  <c r="L168" i="11"/>
  <c r="L167" i="11"/>
  <c r="L166" i="11"/>
  <c r="L161" i="11"/>
  <c r="L156" i="11"/>
  <c r="L151" i="11"/>
  <c r="L145" i="11"/>
  <c r="L140" i="11"/>
  <c r="L137" i="11"/>
  <c r="L136" i="11"/>
  <c r="L131" i="11"/>
  <c r="L128" i="11"/>
  <c r="L127" i="11"/>
  <c r="M122" i="11"/>
  <c r="L122" i="11"/>
  <c r="L117" i="11"/>
  <c r="L114" i="11"/>
  <c r="L113" i="11"/>
  <c r="L112" i="11"/>
  <c r="L107" i="11"/>
  <c r="L102" i="11"/>
  <c r="L99" i="11"/>
  <c r="L98" i="11"/>
  <c r="L93" i="11"/>
  <c r="L90" i="11"/>
  <c r="L89" i="11"/>
  <c r="L84" i="11"/>
  <c r="L79" i="11"/>
  <c r="L76" i="11"/>
  <c r="L75" i="11"/>
  <c r="L74" i="11"/>
  <c r="L69" i="11"/>
  <c r="L66" i="11"/>
  <c r="L65" i="11"/>
  <c r="L60" i="11"/>
  <c r="L57" i="11"/>
  <c r="L56" i="11"/>
  <c r="L51" i="11"/>
  <c r="L48" i="11"/>
  <c r="L47" i="11"/>
  <c r="L46" i="11"/>
  <c r="L45" i="11"/>
  <c r="L44" i="11"/>
  <c r="L39" i="11"/>
  <c r="L36" i="11"/>
  <c r="L35" i="11"/>
  <c r="L34" i="11"/>
  <c r="L33" i="11"/>
  <c r="L32" i="11"/>
  <c r="L27" i="11"/>
  <c r="L24" i="11"/>
  <c r="L23" i="11"/>
  <c r="M22" i="11"/>
  <c r="L22" i="11"/>
  <c r="L21" i="11"/>
  <c r="L20" i="11"/>
  <c r="L17" i="11"/>
  <c r="A205" i="11"/>
  <c r="A201" i="11"/>
  <c r="A200" i="11"/>
  <c r="A199" i="11"/>
  <c r="A198" i="11"/>
  <c r="A196" i="11"/>
  <c r="A195" i="11"/>
  <c r="A193" i="11"/>
  <c r="A192" i="11"/>
  <c r="A190" i="11"/>
  <c r="A189" i="11"/>
  <c r="A188" i="11"/>
  <c r="A187" i="11"/>
  <c r="A185" i="11"/>
  <c r="A184" i="11"/>
  <c r="A182" i="11"/>
  <c r="A181" i="11"/>
  <c r="A180" i="11"/>
  <c r="A179" i="11"/>
  <c r="A177" i="11"/>
  <c r="A176" i="11"/>
  <c r="A175" i="11"/>
  <c r="A174" i="11"/>
  <c r="A172" i="11"/>
  <c r="A171" i="11"/>
  <c r="A170" i="11"/>
  <c r="A165" i="11"/>
  <c r="A164" i="11"/>
  <c r="A163" i="11"/>
  <c r="A162" i="11"/>
  <c r="A160" i="11"/>
  <c r="A159" i="11"/>
  <c r="A158" i="11"/>
  <c r="A157" i="11"/>
  <c r="A155" i="11"/>
  <c r="A154" i="11"/>
  <c r="A153" i="11"/>
  <c r="A152" i="11"/>
  <c r="A149" i="11"/>
  <c r="A148" i="11"/>
  <c r="A144" i="11"/>
  <c r="A143" i="11"/>
  <c r="A142" i="11"/>
  <c r="A141" i="11"/>
  <c r="A139" i="11"/>
  <c r="A138" i="11"/>
  <c r="A135" i="11"/>
  <c r="A134" i="11"/>
  <c r="A133" i="11"/>
  <c r="A132" i="11"/>
  <c r="A130" i="11"/>
  <c r="A129" i="11"/>
  <c r="A126" i="11"/>
  <c r="A125" i="11"/>
  <c r="A124" i="11"/>
  <c r="A123" i="11"/>
  <c r="A121" i="11"/>
  <c r="A120" i="11"/>
  <c r="A119" i="11"/>
  <c r="A118" i="11"/>
  <c r="A116" i="11"/>
  <c r="A115" i="11"/>
  <c r="A111" i="11"/>
  <c r="A110" i="11"/>
  <c r="A109" i="11"/>
  <c r="A108" i="11"/>
  <c r="A106" i="11"/>
  <c r="A105" i="11"/>
  <c r="A104" i="11"/>
  <c r="A103" i="11"/>
  <c r="A101" i="11"/>
  <c r="A100" i="11"/>
  <c r="A97" i="11"/>
  <c r="A96" i="11"/>
  <c r="A95" i="11"/>
  <c r="A94" i="11"/>
  <c r="A92" i="11"/>
  <c r="A91" i="11"/>
  <c r="A88" i="11"/>
  <c r="A87" i="11"/>
  <c r="A86" i="11"/>
  <c r="A85" i="11"/>
  <c r="A83" i="11"/>
  <c r="A82" i="11"/>
  <c r="A81" i="11"/>
  <c r="A80" i="11"/>
  <c r="A78" i="11"/>
  <c r="A77" i="11"/>
  <c r="A73" i="11"/>
  <c r="A72" i="11"/>
  <c r="A71" i="11"/>
  <c r="A70" i="11"/>
  <c r="A68" i="11"/>
  <c r="A67" i="11"/>
  <c r="A64" i="11"/>
  <c r="A63" i="11"/>
  <c r="A62" i="11"/>
  <c r="A61" i="11"/>
  <c r="A59" i="11"/>
  <c r="A58" i="11"/>
  <c r="A55" i="11"/>
  <c r="A54" i="11"/>
  <c r="A53" i="11"/>
  <c r="A52" i="11"/>
  <c r="A50" i="11"/>
  <c r="A49" i="11"/>
  <c r="A43" i="11"/>
  <c r="A42" i="11"/>
  <c r="A41" i="11"/>
  <c r="A40" i="11"/>
  <c r="A38" i="11"/>
  <c r="A37" i="11"/>
  <c r="A31" i="11"/>
  <c r="A30" i="11"/>
  <c r="A29" i="11"/>
  <c r="A28" i="11"/>
  <c r="A26" i="11"/>
  <c r="A25" i="11"/>
  <c r="A19" i="11"/>
  <c r="A18" i="11"/>
  <c r="A16" i="11"/>
  <c r="A15" i="11"/>
  <c r="A14" i="11"/>
  <c r="G204" i="11"/>
  <c r="M204" i="11" s="1"/>
  <c r="N204" i="11" s="1"/>
  <c r="G203" i="11"/>
  <c r="M203" i="11" s="1"/>
  <c r="N203" i="11" s="1"/>
  <c r="G202" i="11"/>
  <c r="M202" i="11" s="1"/>
  <c r="N202" i="11" s="1"/>
  <c r="G197" i="11"/>
  <c r="E198" i="11" s="1"/>
  <c r="E194" i="11"/>
  <c r="G194" i="11" s="1"/>
  <c r="M194" i="11" s="1"/>
  <c r="N194" i="11" s="1"/>
  <c r="G191" i="11"/>
  <c r="M191" i="11" s="1"/>
  <c r="N191" i="11" s="1"/>
  <c r="E186" i="11"/>
  <c r="G186" i="11" s="1"/>
  <c r="E187" i="11" s="1"/>
  <c r="G183" i="11"/>
  <c r="M183" i="11" s="1"/>
  <c r="N183" i="11" s="1"/>
  <c r="G178" i="11"/>
  <c r="E179" i="11" s="1"/>
  <c r="G173" i="11"/>
  <c r="E174" i="11" s="1"/>
  <c r="G169" i="11"/>
  <c r="M169" i="11" s="1"/>
  <c r="E168" i="11"/>
  <c r="G168" i="11" s="1"/>
  <c r="M168" i="11" s="1"/>
  <c r="E167" i="11"/>
  <c r="G167" i="11" s="1"/>
  <c r="M167" i="11" s="1"/>
  <c r="N167" i="11" s="1"/>
  <c r="G166" i="11"/>
  <c r="J166" i="11" s="1"/>
  <c r="G161" i="11"/>
  <c r="E162" i="11" s="1"/>
  <c r="G156" i="11"/>
  <c r="E157" i="11" s="1"/>
  <c r="G151" i="11"/>
  <c r="E152" i="11" s="1"/>
  <c r="G150" i="11"/>
  <c r="M150" i="11" s="1"/>
  <c r="N150" i="11" s="1"/>
  <c r="E147" i="11"/>
  <c r="G147" i="11" s="1"/>
  <c r="J147" i="11" s="1"/>
  <c r="E146" i="11"/>
  <c r="G146" i="11" s="1"/>
  <c r="M146" i="11" s="1"/>
  <c r="E145" i="11"/>
  <c r="G145" i="11" s="1"/>
  <c r="M145" i="11" s="1"/>
  <c r="N145" i="11" s="1"/>
  <c r="G140" i="11"/>
  <c r="E141" i="11" s="1"/>
  <c r="E137" i="11"/>
  <c r="G137" i="11" s="1"/>
  <c r="M137" i="11" s="1"/>
  <c r="G136" i="11"/>
  <c r="J136" i="11" s="1"/>
  <c r="E131" i="11"/>
  <c r="G131" i="11" s="1"/>
  <c r="J131" i="11" s="1"/>
  <c r="G128" i="11"/>
  <c r="M128" i="11" s="1"/>
  <c r="N128" i="11" s="1"/>
  <c r="E128" i="11"/>
  <c r="G127" i="11"/>
  <c r="M127" i="11" s="1"/>
  <c r="N127" i="11" s="1"/>
  <c r="G122" i="11"/>
  <c r="E123" i="11" s="1"/>
  <c r="E125" i="11" s="1"/>
  <c r="G117" i="11"/>
  <c r="E118" i="11" s="1"/>
  <c r="E114" i="11"/>
  <c r="G114" i="11" s="1"/>
  <c r="M114" i="11" s="1"/>
  <c r="N114" i="11" s="1"/>
  <c r="G113" i="11"/>
  <c r="M113" i="11" s="1"/>
  <c r="N113" i="11" s="1"/>
  <c r="G112" i="11"/>
  <c r="M112" i="11" s="1"/>
  <c r="G107" i="11"/>
  <c r="E108" i="11" s="1"/>
  <c r="E102" i="11"/>
  <c r="G102" i="11" s="1"/>
  <c r="E99" i="11"/>
  <c r="G99" i="11" s="1"/>
  <c r="J99" i="11" s="1"/>
  <c r="G98" i="11"/>
  <c r="M98" i="11" s="1"/>
  <c r="N98" i="11" s="1"/>
  <c r="E93" i="11"/>
  <c r="G93" i="11" s="1"/>
  <c r="E94" i="11" s="1"/>
  <c r="E90" i="11"/>
  <c r="G90" i="11" s="1"/>
  <c r="J90" i="11" s="1"/>
  <c r="G89" i="11"/>
  <c r="G84" i="11"/>
  <c r="E85" i="11" s="1"/>
  <c r="G79" i="11"/>
  <c r="E80" i="11" s="1"/>
  <c r="E81" i="11" s="1"/>
  <c r="E76" i="11"/>
  <c r="G76" i="11" s="1"/>
  <c r="M76" i="11" s="1"/>
  <c r="N76" i="11" s="1"/>
  <c r="G75" i="11"/>
  <c r="M75" i="11" s="1"/>
  <c r="G74" i="11"/>
  <c r="M74" i="11" s="1"/>
  <c r="N74" i="11" s="1"/>
  <c r="E69" i="11"/>
  <c r="G69" i="11" s="1"/>
  <c r="E70" i="11" s="1"/>
  <c r="E73" i="11" s="1"/>
  <c r="E66" i="11"/>
  <c r="G66" i="11" s="1"/>
  <c r="M66" i="11" s="1"/>
  <c r="N66" i="11" s="1"/>
  <c r="G65" i="11"/>
  <c r="J65" i="11" s="1"/>
  <c r="G60" i="11"/>
  <c r="E61" i="11" s="1"/>
  <c r="E64" i="11" s="1"/>
  <c r="E57" i="11"/>
  <c r="G57" i="11" s="1"/>
  <c r="J57" i="11" s="1"/>
  <c r="G56" i="11"/>
  <c r="M56" i="11" s="1"/>
  <c r="E51" i="11"/>
  <c r="G51" i="11" s="1"/>
  <c r="J51" i="11" s="1"/>
  <c r="E48" i="11"/>
  <c r="G48" i="11" s="1"/>
  <c r="M48" i="11" s="1"/>
  <c r="N48" i="11" s="1"/>
  <c r="E47" i="11"/>
  <c r="G47" i="11" s="1"/>
  <c r="J47" i="11" s="1"/>
  <c r="E46" i="11"/>
  <c r="G46" i="11" s="1"/>
  <c r="J46" i="11" s="1"/>
  <c r="E45" i="11"/>
  <c r="G45" i="11" s="1"/>
  <c r="J45" i="11" s="1"/>
  <c r="E44" i="11"/>
  <c r="G44" i="11" s="1"/>
  <c r="J44" i="11" s="1"/>
  <c r="E39" i="11"/>
  <c r="G39" i="11" s="1"/>
  <c r="E40" i="11" s="1"/>
  <c r="E43" i="11" s="1"/>
  <c r="E36" i="11"/>
  <c r="G36" i="11" s="1"/>
  <c r="M36" i="11" s="1"/>
  <c r="N36" i="11" s="1"/>
  <c r="E35" i="11"/>
  <c r="G35" i="11" s="1"/>
  <c r="M35" i="11" s="1"/>
  <c r="E34" i="11"/>
  <c r="G34" i="11" s="1"/>
  <c r="M34" i="11" s="1"/>
  <c r="E33" i="11"/>
  <c r="G33" i="11" s="1"/>
  <c r="M33" i="11" s="1"/>
  <c r="G32" i="11"/>
  <c r="M32" i="11" s="1"/>
  <c r="E27" i="11"/>
  <c r="G27" i="11" s="1"/>
  <c r="E28" i="11" s="1"/>
  <c r="E31" i="11" s="1"/>
  <c r="E24" i="11"/>
  <c r="G24" i="11" s="1"/>
  <c r="M24" i="11" s="1"/>
  <c r="N24" i="11" s="1"/>
  <c r="E23" i="11"/>
  <c r="G23" i="11" s="1"/>
  <c r="M23" i="11" s="1"/>
  <c r="N23" i="11" s="1"/>
  <c r="G22" i="11"/>
  <c r="J22" i="11" s="1"/>
  <c r="G21" i="11"/>
  <c r="M21" i="11" s="1"/>
  <c r="G20" i="11"/>
  <c r="M20" i="11" s="1"/>
  <c r="G17" i="11"/>
  <c r="J17" i="11" s="1"/>
  <c r="A12" i="11"/>
  <c r="A7" i="11"/>
  <c r="A6" i="11"/>
  <c r="L9" i="11"/>
  <c r="L10" i="11"/>
  <c r="L11" i="11"/>
  <c r="L8" i="11"/>
  <c r="G11" i="11"/>
  <c r="J11" i="11" s="1"/>
  <c r="G10" i="11"/>
  <c r="J10" i="11" s="1"/>
  <c r="G9" i="11"/>
  <c r="J9" i="11" s="1"/>
  <c r="G8" i="11"/>
  <c r="M8" i="11" s="1"/>
  <c r="E103" i="11" l="1"/>
  <c r="M102" i="11"/>
  <c r="N102" i="11" s="1"/>
  <c r="J102" i="11"/>
  <c r="M47" i="11"/>
  <c r="N47" i="11" s="1"/>
  <c r="M166" i="11"/>
  <c r="M69" i="11"/>
  <c r="N69" i="11" s="1"/>
  <c r="M151" i="11"/>
  <c r="N151" i="11" s="1"/>
  <c r="O151" i="11" s="1"/>
  <c r="J66" i="11"/>
  <c r="O66" i="11" s="1"/>
  <c r="J137" i="11"/>
  <c r="J151" i="11"/>
  <c r="J32" i="11"/>
  <c r="M90" i="11"/>
  <c r="N90" i="11" s="1"/>
  <c r="O90" i="11" s="1"/>
  <c r="J79" i="11"/>
  <c r="J107" i="11"/>
  <c r="J167" i="11"/>
  <c r="O167" i="11" s="1"/>
  <c r="J75" i="11"/>
  <c r="M136" i="11"/>
  <c r="N136" i="11" s="1"/>
  <c r="O136" i="11" s="1"/>
  <c r="J161" i="11"/>
  <c r="J48" i="11"/>
  <c r="J84" i="11"/>
  <c r="J112" i="11"/>
  <c r="J146" i="11"/>
  <c r="J168" i="11"/>
  <c r="J35" i="11"/>
  <c r="J117" i="11"/>
  <c r="J23" i="11"/>
  <c r="M65" i="11"/>
  <c r="J36" i="11"/>
  <c r="J56" i="11"/>
  <c r="J122" i="11"/>
  <c r="J191" i="11"/>
  <c r="O191" i="11" s="1"/>
  <c r="M17" i="11"/>
  <c r="J69" i="11"/>
  <c r="J60" i="11"/>
  <c r="J98" i="11"/>
  <c r="J128" i="11"/>
  <c r="O128" i="11" s="1"/>
  <c r="J150" i="11"/>
  <c r="J202" i="11"/>
  <c r="O202" i="11" s="1"/>
  <c r="J203" i="11"/>
  <c r="O203" i="11" s="1"/>
  <c r="O102" i="11"/>
  <c r="N56" i="11"/>
  <c r="N35" i="11"/>
  <c r="O35" i="11" s="1"/>
  <c r="N22" i="11"/>
  <c r="O22" i="11" s="1"/>
  <c r="N34" i="11"/>
  <c r="N168" i="11"/>
  <c r="N33" i="11"/>
  <c r="N20" i="11"/>
  <c r="N169" i="11"/>
  <c r="N137" i="11"/>
  <c r="O137" i="11" s="1"/>
  <c r="N21" i="11"/>
  <c r="N75" i="11"/>
  <c r="O75" i="11" s="1"/>
  <c r="N112" i="11"/>
  <c r="O112" i="11" s="1"/>
  <c r="N8" i="11"/>
  <c r="O23" i="11"/>
  <c r="M46" i="11"/>
  <c r="N46" i="11" s="1"/>
  <c r="O48" i="11"/>
  <c r="E52" i="11"/>
  <c r="E53" i="11" s="1"/>
  <c r="M51" i="11"/>
  <c r="N51" i="11" s="1"/>
  <c r="M147" i="11"/>
  <c r="N147" i="11" s="1"/>
  <c r="M44" i="11"/>
  <c r="N44" i="11" s="1"/>
  <c r="O44" i="11" s="1"/>
  <c r="O194" i="11"/>
  <c r="O127" i="11"/>
  <c r="M45" i="11"/>
  <c r="N45" i="11" s="1"/>
  <c r="M99" i="11"/>
  <c r="N99" i="11" s="1"/>
  <c r="O99" i="11" s="1"/>
  <c r="E132" i="11"/>
  <c r="E135" i="11" s="1"/>
  <c r="M131" i="11"/>
  <c r="N131" i="11" s="1"/>
  <c r="N32" i="11"/>
  <c r="O32" i="11" s="1"/>
  <c r="O36" i="11"/>
  <c r="N65" i="11"/>
  <c r="O65" i="11" s="1"/>
  <c r="J113" i="11"/>
  <c r="O113" i="11" s="1"/>
  <c r="N122" i="11"/>
  <c r="N166" i="11"/>
  <c r="O166" i="11" s="1"/>
  <c r="M197" i="11"/>
  <c r="N197" i="11" s="1"/>
  <c r="M89" i="11"/>
  <c r="N89" i="11" s="1"/>
  <c r="O89" i="11" s="1"/>
  <c r="J173" i="11"/>
  <c r="M186" i="11"/>
  <c r="N186" i="11" s="1"/>
  <c r="O186" i="11" s="1"/>
  <c r="J33" i="11"/>
  <c r="J76" i="11"/>
  <c r="O76" i="11" s="1"/>
  <c r="N146" i="11"/>
  <c r="J156" i="11"/>
  <c r="N17" i="11"/>
  <c r="O17" i="11" s="1"/>
  <c r="J114" i="11"/>
  <c r="O114" i="11" s="1"/>
  <c r="M173" i="11"/>
  <c r="N173" i="11" s="1"/>
  <c r="J20" i="11"/>
  <c r="M156" i="11"/>
  <c r="N156" i="11" s="1"/>
  <c r="J24" i="11"/>
  <c r="O24" i="11" s="1"/>
  <c r="J34" i="11"/>
  <c r="O34" i="11" s="1"/>
  <c r="M39" i="11"/>
  <c r="N39" i="11" s="1"/>
  <c r="O39" i="11" s="1"/>
  <c r="J140" i="11"/>
  <c r="O168" i="11"/>
  <c r="J178" i="11"/>
  <c r="M57" i="11"/>
  <c r="N57" i="11" s="1"/>
  <c r="O57" i="11" s="1"/>
  <c r="J21" i="11"/>
  <c r="J74" i="11"/>
  <c r="O74" i="11" s="1"/>
  <c r="M79" i="11"/>
  <c r="N79" i="11" s="1"/>
  <c r="O79" i="11" s="1"/>
  <c r="M93" i="11"/>
  <c r="N93" i="11" s="1"/>
  <c r="M107" i="11"/>
  <c r="N107" i="11" s="1"/>
  <c r="O107" i="11" s="1"/>
  <c r="M140" i="11"/>
  <c r="N140" i="11" s="1"/>
  <c r="O150" i="11"/>
  <c r="M178" i="11"/>
  <c r="N178" i="11" s="1"/>
  <c r="O47" i="11"/>
  <c r="M11" i="11"/>
  <c r="N11" i="11" s="1"/>
  <c r="O11" i="11" s="1"/>
  <c r="J27" i="11"/>
  <c r="O98" i="11"/>
  <c r="M161" i="11"/>
  <c r="N161" i="11" s="1"/>
  <c r="O161" i="11" s="1"/>
  <c r="J183" i="11"/>
  <c r="O183" i="11" s="1"/>
  <c r="J204" i="11"/>
  <c r="O204" i="11" s="1"/>
  <c r="M60" i="11"/>
  <c r="N60" i="11" s="1"/>
  <c r="O60" i="11" s="1"/>
  <c r="M117" i="11"/>
  <c r="N117" i="11" s="1"/>
  <c r="O117" i="11" s="1"/>
  <c r="J145" i="11"/>
  <c r="O145" i="11" s="1"/>
  <c r="J169" i="11"/>
  <c r="O169" i="11" s="1"/>
  <c r="O69" i="11"/>
  <c r="M27" i="11"/>
  <c r="N27" i="11" s="1"/>
  <c r="M84" i="11"/>
  <c r="N84" i="11" s="1"/>
  <c r="O84" i="11" s="1"/>
  <c r="J197" i="11"/>
  <c r="E164" i="11"/>
  <c r="E165" i="11"/>
  <c r="E126" i="11"/>
  <c r="E97" i="11"/>
  <c r="E96" i="11"/>
  <c r="E95" i="11"/>
  <c r="E88" i="11"/>
  <c r="E86" i="11"/>
  <c r="E87" i="11"/>
  <c r="E142" i="11"/>
  <c r="E144" i="11"/>
  <c r="E143" i="11"/>
  <c r="E160" i="11"/>
  <c r="E159" i="11"/>
  <c r="E158" i="11"/>
  <c r="E201" i="11"/>
  <c r="E200" i="11"/>
  <c r="E199" i="11"/>
  <c r="E182" i="11"/>
  <c r="E181" i="11"/>
  <c r="E180" i="11"/>
  <c r="E55" i="11"/>
  <c r="E54" i="11"/>
  <c r="E153" i="11"/>
  <c r="E154" i="11"/>
  <c r="E155" i="11"/>
  <c r="E190" i="11"/>
  <c r="E189" i="11"/>
  <c r="E188" i="11"/>
  <c r="E106" i="11"/>
  <c r="E105" i="11"/>
  <c r="E104" i="11"/>
  <c r="E121" i="11"/>
  <c r="E120" i="11"/>
  <c r="E119" i="11"/>
  <c r="E111" i="11"/>
  <c r="E110" i="11"/>
  <c r="E109" i="11"/>
  <c r="E177" i="11"/>
  <c r="E176" i="11"/>
  <c r="E175" i="11"/>
  <c r="E82" i="11"/>
  <c r="E83" i="11"/>
  <c r="E29" i="11"/>
  <c r="E71" i="11"/>
  <c r="E133" i="11"/>
  <c r="E30" i="11"/>
  <c r="E72" i="11"/>
  <c r="E134" i="11"/>
  <c r="E41" i="11"/>
  <c r="E62" i="11"/>
  <c r="E124" i="11"/>
  <c r="E42" i="11"/>
  <c r="E63" i="11"/>
  <c r="E163" i="11"/>
  <c r="M10" i="11"/>
  <c r="N10" i="11" s="1"/>
  <c r="O10" i="11" s="1"/>
  <c r="J8" i="11"/>
  <c r="O8" i="11" s="1"/>
  <c r="M9" i="11"/>
  <c r="N9" i="11" s="1"/>
  <c r="O9" i="11" s="1"/>
  <c r="O56" i="11" l="1"/>
  <c r="O20" i="11"/>
  <c r="O33" i="11"/>
  <c r="O21" i="11"/>
  <c r="O178" i="11"/>
  <c r="O140" i="11"/>
  <c r="O173" i="11"/>
  <c r="O93" i="11"/>
  <c r="O131" i="11"/>
  <c r="O147" i="11"/>
  <c r="O197" i="11"/>
  <c r="O45" i="11"/>
  <c r="O27" i="11"/>
  <c r="O146" i="11"/>
  <c r="O122" i="11"/>
  <c r="O156" i="11"/>
  <c r="O51" i="11"/>
  <c r="O46" i="11"/>
  <c r="P5" i="11"/>
  <c r="P13" i="11" l="1"/>
  <c r="A13" i="11"/>
  <c r="A206" i="11" l="1"/>
  <c r="A5" i="11"/>
  <c r="A8" i="11" l="1"/>
  <c r="M207" i="11"/>
  <c r="A9" i="11" l="1"/>
  <c r="P208" i="11"/>
  <c r="A10" i="11" l="1"/>
  <c r="P210" i="11"/>
  <c r="P209" i="11"/>
  <c r="A11" i="11" l="1"/>
  <c r="P211" i="11"/>
  <c r="P2" i="11" s="1"/>
  <c r="A17" i="11" l="1"/>
  <c r="A20" i="11" s="1"/>
  <c r="A21" i="11" l="1"/>
  <c r="A22" i="11" l="1"/>
  <c r="A23" i="11" s="1"/>
  <c r="A24" i="11" s="1"/>
  <c r="A27" i="11" s="1"/>
  <c r="A32" i="11" s="1"/>
  <c r="A33" i="11" s="1"/>
  <c r="A34" i="11" s="1"/>
  <c r="A35" i="11" s="1"/>
  <c r="A36" i="11" s="1"/>
  <c r="A39" i="11" s="1"/>
  <c r="A44" i="11" s="1"/>
  <c r="A45" i="11" s="1"/>
  <c r="A46" i="11" s="1"/>
  <c r="A47" i="11" s="1"/>
  <c r="A48" i="11" s="1"/>
  <c r="A51" i="11" s="1"/>
  <c r="A56" i="11" s="1"/>
  <c r="A57" i="11" s="1"/>
  <c r="A60" i="11" s="1"/>
  <c r="A65" i="11" s="1"/>
  <c r="A66" i="11" s="1"/>
  <c r="A69" i="11" s="1"/>
  <c r="A74" i="11" s="1"/>
  <c r="A75" i="11" s="1"/>
  <c r="A76" i="11" s="1"/>
  <c r="A79" i="11" s="1"/>
  <c r="A84" i="11" s="1"/>
  <c r="A89" i="11" s="1"/>
  <c r="A90" i="11" s="1"/>
  <c r="A93" i="11" s="1"/>
  <c r="A98" i="11" s="1"/>
  <c r="A99" i="11" s="1"/>
  <c r="A102" i="11" s="1"/>
  <c r="A107" i="11" s="1"/>
  <c r="A112" i="11" s="1"/>
  <c r="A113" i="11" s="1"/>
  <c r="A114" i="11" s="1"/>
  <c r="A117" i="11" s="1"/>
  <c r="A122" i="11" s="1"/>
  <c r="A127" i="11" s="1"/>
  <c r="A128" i="11" s="1"/>
  <c r="A131" i="11" s="1"/>
  <c r="A136" i="11" s="1"/>
  <c r="A137" i="11" s="1"/>
  <c r="A140" i="11" s="1"/>
  <c r="A145" i="11" s="1"/>
  <c r="A146" i="11" s="1"/>
  <c r="A147" i="11" s="1"/>
  <c r="A150" i="11" s="1"/>
  <c r="A151" i="11" s="1"/>
  <c r="A156" i="11" s="1"/>
  <c r="A161" i="11" s="1"/>
  <c r="A166" i="11" s="1"/>
  <c r="A167" i="11" s="1"/>
  <c r="A168" i="11" s="1"/>
  <c r="A169" i="11" s="1"/>
  <c r="A173" i="11" s="1"/>
  <c r="A178" i="11" s="1"/>
  <c r="A183" i="11" s="1"/>
  <c r="A186" i="11" s="1"/>
  <c r="A191" i="11" s="1"/>
  <c r="A194" i="11" s="1"/>
  <c r="A197" i="11" s="1"/>
  <c r="A202" i="11" s="1"/>
  <c r="A203" i="11" s="1"/>
  <c r="A204" i="11" s="1"/>
</calcChain>
</file>

<file path=xl/sharedStrings.xml><?xml version="1.0" encoding="utf-8"?>
<sst xmlns="http://schemas.openxmlformats.org/spreadsheetml/2006/main" count="292" uniqueCount="116">
  <si>
    <t>Summary</t>
  </si>
  <si>
    <t>Amount</t>
  </si>
  <si>
    <t>TOTAL ITEM COST</t>
  </si>
  <si>
    <t>LF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</si>
  <si>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</si>
  <si>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</si>
  <si>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</si>
  <si>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</si>
  <si>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</si>
  <si>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</si>
  <si>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</si>
  <si>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</si>
  <si>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</si>
  <si>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</si>
  <si>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</si>
  <si>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</si>
  <si>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</si>
  <si>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</si>
  <si>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</si>
  <si>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</si>
  <si>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</si>
  <si>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Total Labor Hrs.</t>
  </si>
  <si>
    <t xml:space="preserve">Trades Total </t>
  </si>
  <si>
    <t>Material Tax</t>
  </si>
  <si>
    <t>OH&amp;P</t>
  </si>
  <si>
    <t>TOTALS</t>
  </si>
  <si>
    <t>TOTAL COST</t>
  </si>
  <si>
    <t>Drawing Ref.</t>
  </si>
  <si>
    <t>Sub- Division Codes</t>
  </si>
  <si>
    <t>DIV.02 EXISTING CONDITIONS</t>
  </si>
  <si>
    <t>SF</t>
  </si>
  <si>
    <t>Screw</t>
  </si>
  <si>
    <t>Adhesive</t>
  </si>
  <si>
    <t>Tapping</t>
  </si>
  <si>
    <t>Number Of Sheets( Assume Size 4' X 8')</t>
  </si>
  <si>
    <t>Acoustical Sealants/Caulking</t>
  </si>
  <si>
    <t>DIV.03 CONCRETE</t>
  </si>
  <si>
    <t>Notes for Clients</t>
  </si>
  <si>
    <t>THIS EXCEL STATEMENT IS EDITABLE AND CAN BE MODIFIED AS REQUIRED.</t>
  </si>
  <si>
    <t>CHANGE IN PERCENTAGES WILL CHANGE THE AMOUNT REFLECTING OF RESPECTIVE HEAD.</t>
  </si>
  <si>
    <t>PRICES OF LABOR AND MATERIALS ARE TAKEN FROM ONLINE MARKET RESOURCES AND CAN DIFFER FROM LOCAL VENDOR/SUPPLIER, RESPECTED CLIENTS ARE ADVISED TO DOUBLE CHECK TO MAKE SURE THE BID IS COMPETITIVE.</t>
  </si>
  <si>
    <t>SEPARATE PERMIT SHALL BE REQUIRED FOR SIGNS, FENCES, MOUNTED YARD LIGHTING FOUNDATIONS, HVAC UNITS, AND PLANTERS AS PER THE CITY NOTES.</t>
  </si>
  <si>
    <t>GENERAL REQUIREMENTS AND TEMPORARY SERVICES FEE AND TAX COST NEEDS TO BE ADDED.</t>
  </si>
  <si>
    <t>2" X 4" Wood Blocking</t>
  </si>
  <si>
    <t>(1) Layer Of 5/8" Gypsum Wall Board On One Side</t>
  </si>
  <si>
    <t>(1) Layer Of 5/8" Moisture Resistant Gypsum Wall Board @ Wet Areas</t>
  </si>
  <si>
    <t>INSURANCE PERCENTAGES NEEDS TO BE ADDED.</t>
  </si>
  <si>
    <t>Demolition Of Existing Acoustical Ceiling Tiles W/ Electrical And Mechanical Fixtures</t>
  </si>
  <si>
    <t>Demolition Of Existing Gypsum Board Ceiling Finishes And Prepare Surface To Receive New Ceiling Finishes</t>
  </si>
  <si>
    <t>Demolition Of 4'' Existing Wall</t>
  </si>
  <si>
    <t>Demolition Of 6'' Existing Wall</t>
  </si>
  <si>
    <t>D1.0
D1.1</t>
  </si>
  <si>
    <t>DRY WALLS</t>
  </si>
  <si>
    <t>WALL TYPE: A2, EXISTING DEMISING WALL</t>
  </si>
  <si>
    <t>Patch And Repair To Maintain Fire Rating Of Wall</t>
  </si>
  <si>
    <t>WALL TYPE: B, EXISTING DEMISING WALL</t>
  </si>
  <si>
    <t>Metal Wall Panels</t>
  </si>
  <si>
    <t>2-1/2" X 3/4" Polar End Boards</t>
  </si>
  <si>
    <t>1/2" Plywood, For Plugmold Shelf</t>
  </si>
  <si>
    <t>2" X 4" Wood Ledger</t>
  </si>
  <si>
    <t>2" X 6" Wood Ledger Board</t>
  </si>
  <si>
    <t>WALL TYPE: B1, INTERIOR PARTITION WALL</t>
  </si>
  <si>
    <t>(1) Layer Of 5/8" Type "X" Gypsum Wall Board On Both Side</t>
  </si>
  <si>
    <t>3-5/8" Metal Studs @ 16" O.C. W/ 1-Top And 1-Bottom Runner (Wall Lf= 17.98)</t>
  </si>
  <si>
    <t>1/2" Plywood, For Plugmold Shelf On Both Side</t>
  </si>
  <si>
    <t>2" X 4" Wood Ledger On Both Side</t>
  </si>
  <si>
    <t>2" X 6" Wood Ledger Board On Both Side</t>
  </si>
  <si>
    <t>WALL TYPE: B2, INTERIOR PARTITION WALL</t>
  </si>
  <si>
    <t>(2) Row Of 3-5/8" Metal Studs @ 16" O.C. W/ 1-Top And 1-Bottom Runner (Wall Lf= 18)</t>
  </si>
  <si>
    <t>WALL TYPE: C, INTERIOR PARTITION WALL</t>
  </si>
  <si>
    <t>3-5/8" Metal Studs @ 16" O.C. W/ 1-Top And 1-Bottom Runner (Wall Lf= 14.5)</t>
  </si>
  <si>
    <t>WALL TYPE: D, INTERIOR PARTITION WALL</t>
  </si>
  <si>
    <t>3-5/8" Metal Studs @ 16" O.C. W/ 1-Top And 1-Bottom Runner (Wall Lf= 70.78)</t>
  </si>
  <si>
    <t>WALL TYPE: E, INTERIOR PARTITION WALL</t>
  </si>
  <si>
    <t>(1) Layer Of 5/8" Moisture Resistant Gypsum Wall Board  On Both Side</t>
  </si>
  <si>
    <t>6" X 18 Ga. Metal Studs @ 16" O.C. W/ 1-Top And 1-Bottom Runner (Wall Lf= 8.07)</t>
  </si>
  <si>
    <t>R-19, Batt Insulation</t>
  </si>
  <si>
    <t>WALL TYPE: F, INTERIOR PARTITION WALL</t>
  </si>
  <si>
    <t>(1) Layer Of 5/8" Type "X" Gypsum Wall Board On One Side</t>
  </si>
  <si>
    <t>(1) Layer Of 5/8" Moisture Resistant Gypsum Wall Board  On One Side</t>
  </si>
  <si>
    <t>3-5/8" X 18 Ga. Metal Studs @ 16" O.C. W/ 1-Top And 1-Bottom Runner (Wall Lf= 9.8)</t>
  </si>
  <si>
    <t>WALL TYPE: G, INTERIOR LOW WALL</t>
  </si>
  <si>
    <t>3-5/8" X 18 Ga. Metal Studs @ 16" O.C. W/ 1-Top And 1-Bottom Runner (Wall Lf= 1.97)</t>
  </si>
  <si>
    <t>WALL TYPE: H, 1HR-RATED, INTERIOR PARTITION WALL</t>
  </si>
  <si>
    <t>6" Metal Studs @ 16" O.C. W/ 1-Top And 1-Bottom Runner (Wall Lf= 374.11)</t>
  </si>
  <si>
    <t>3-1/2" Batt Insulation</t>
  </si>
  <si>
    <t>WALL TYPE: I, INTERIOR PARTITION WALL</t>
  </si>
  <si>
    <t>3-5/8" Metal Studs @ 16" O.C. W/ 1-Top And 1-Bottom Runner (Wall Lf= 15.76)</t>
  </si>
  <si>
    <t>WALL TYPE: J, INTERIOR PARTITION WALL</t>
  </si>
  <si>
    <t>6" Metal Studs @ 16" O.C. W/ 1-Top And 1-Bottom Runner (Wall Lf= 90.14)</t>
  </si>
  <si>
    <t>WALL TYPE: 4" COLUMN ENCLOSURE</t>
  </si>
  <si>
    <t>2-1/2" Metal Studs @ 16" O.C. W/ 1-Top And 1-Bottom Runner (Wall Lf= 26.18)</t>
  </si>
  <si>
    <t>3-5/8" Metal Studs @ 16" O.C. W/ 1-Top And 1-Bottom Runner (Wall Lf= 26.18)</t>
  </si>
  <si>
    <t>WALL TYPE: STOREFRONT PARTITION WALL</t>
  </si>
  <si>
    <t>Break Metal Panels</t>
  </si>
  <si>
    <t>(1) Layer Of 5/8" Densglass Sheathing On One Side</t>
  </si>
  <si>
    <t>(1) Layer Of 3/4" Plywood Sheathing On One Side</t>
  </si>
  <si>
    <t>1-5/8" Metal Studs @ 16" O.C. W/ 1-Top And 1-Bottom Runner (Wall Lf= 75.02)</t>
  </si>
  <si>
    <t>3-5/8" Metal Studs @ 16" O.C. W/ 1-Top And 1-Bottom Runner (Wall Lf= 75.02)</t>
  </si>
  <si>
    <t>CEILING</t>
  </si>
  <si>
    <t>Ceiling Type: CL2</t>
  </si>
  <si>
    <t>(1) Layer Of 5/8" Type "X" Gypsum Wall Board Ceiling</t>
  </si>
  <si>
    <t>(1) Layer Of 5/8" Moisture Resistant Gypsum Wall Board Ceiling @ Wet Areas</t>
  </si>
  <si>
    <t>Rigid "X" Suspension System</t>
  </si>
  <si>
    <t>Ceiling Bulkhead</t>
  </si>
  <si>
    <t>(1) Layer Of 5/8" Type "X" Gypsum Wall Board Soffit</t>
  </si>
  <si>
    <t>3-5/8" Metal Studs @ 16" O.C. W/ 1-Top And 1-Bottom Runner</t>
  </si>
  <si>
    <t>Box Beam</t>
  </si>
  <si>
    <t>3-5/8" Metal Stud</t>
  </si>
  <si>
    <t>Platform Framing</t>
  </si>
  <si>
    <t>(1) Layer Of 3/4" FRT Plywood On One Side</t>
  </si>
  <si>
    <t>6" Metal Stud Joist @ 16" O.C.</t>
  </si>
  <si>
    <t>1X4 Wood Trim</t>
  </si>
  <si>
    <t>DEMOLITION</t>
  </si>
  <si>
    <t>A1.0
A1.1
A1.4</t>
  </si>
  <si>
    <t xml:space="preserve">Foot Locker Tyson's Corner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</si>
</sst>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0.0%"/>
    <numFmt numFmtId="174" formatCode="_(&quot;$&quot;* #,##0_);_(&quot;$&quot;* \(#,##0\);_(&quot;$&quot;* &quot;-&quot;??_);_(@_)"/>
  </numFmts>
  <fonts count="6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63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6"/>
      <color theme="1"/>
      <name val="Adobe Gothic Std B"/>
      <family val="2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5" applyNumberFormat="0" applyAlignment="0" applyProtection="0"/>
    <xf numFmtId="0" fontId="48" fillId="30" borderId="16" applyNumberFormat="0" applyAlignment="0" applyProtection="0"/>
    <xf numFmtId="0" fontId="49" fillId="30" borderId="15" applyNumberFormat="0" applyAlignment="0" applyProtection="0"/>
    <xf numFmtId="0" fontId="50" fillId="0" borderId="17" applyNumberFormat="0" applyFill="0" applyAlignment="0" applyProtection="0"/>
    <xf numFmtId="0" fontId="51" fillId="31" borderId="18" applyNumberFormat="0" applyAlignment="0" applyProtection="0"/>
    <xf numFmtId="0" fontId="52" fillId="0" borderId="0" applyNumberFormat="0" applyFill="0" applyBorder="0" applyAlignment="0" applyProtection="0"/>
    <xf numFmtId="0" fontId="7" fillId="32" borderId="1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5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59" fillId="0" borderId="0" applyFont="0" applyFill="0" applyBorder="0" applyAlignment="0" applyProtection="0"/>
  </cellStyleXfs>
  <cellXfs count="125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Alignment="1">
      <alignment vertical="center"/>
    </xf>
    <xf numFmtId="0" fontId="31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36" fillId="0" borderId="0" xfId="45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" fontId="56" fillId="0" borderId="0" xfId="100" applyNumberFormat="1" applyFont="1" applyAlignment="1">
      <alignment horizontal="right" vertical="center"/>
    </xf>
    <xf numFmtId="0" fontId="56" fillId="0" borderId="0" xfId="102" applyFont="1" applyAlignment="1">
      <alignment horizontal="center" vertical="center"/>
    </xf>
    <xf numFmtId="0" fontId="56" fillId="0" borderId="0" xfId="97" applyFont="1" applyAlignment="1">
      <alignment horizontal="center" vertical="center"/>
    </xf>
    <xf numFmtId="1" fontId="56" fillId="0" borderId="0" xfId="98" applyNumberFormat="1" applyFont="1" applyAlignment="1">
      <alignment horizontal="right" vertical="center"/>
    </xf>
    <xf numFmtId="0" fontId="56" fillId="0" borderId="0" xfId="102" applyFont="1" applyAlignment="1">
      <alignment wrapText="1"/>
    </xf>
    <xf numFmtId="0" fontId="39" fillId="0" borderId="22" xfId="41" applyFont="1" applyFill="1" applyBorder="1" applyAlignment="1">
      <alignment vertical="top" wrapText="1"/>
    </xf>
    <xf numFmtId="169" fontId="32" fillId="25" borderId="23" xfId="38" applyNumberFormat="1" applyFont="1" applyFill="1" applyBorder="1" applyAlignment="1" applyProtection="1">
      <alignment horizontal="left" vertical="center"/>
    </xf>
    <xf numFmtId="0" fontId="31" fillId="0" borderId="21" xfId="45" applyFont="1" applyBorder="1" applyAlignment="1">
      <alignment vertical="center"/>
    </xf>
    <xf numFmtId="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0" fontId="31" fillId="0" borderId="21" xfId="45" applyFont="1" applyBorder="1" applyAlignment="1">
      <alignment horizontal="center" vertical="center"/>
    </xf>
    <xf numFmtId="0" fontId="39" fillId="0" borderId="24" xfId="41" applyFont="1" applyFill="1" applyBorder="1" applyAlignment="1">
      <alignment horizontal="center" vertical="center"/>
    </xf>
    <xf numFmtId="1" fontId="56" fillId="0" borderId="0" xfId="100" applyNumberFormat="1" applyFont="1" applyAlignment="1">
      <alignment horizontal="right" vertical="center" wrapText="1"/>
    </xf>
    <xf numFmtId="9" fontId="31" fillId="0" borderId="0" xfId="0" applyNumberFormat="1" applyFont="1" applyAlignment="1">
      <alignment vertical="center" wrapText="1"/>
    </xf>
    <xf numFmtId="165" fontId="31" fillId="0" borderId="0" xfId="0" applyNumberFormat="1" applyFont="1" applyAlignment="1">
      <alignment horizontal="center" vertical="center" wrapText="1"/>
    </xf>
    <xf numFmtId="0" fontId="56" fillId="0" borderId="0" xfId="102" applyFont="1" applyAlignment="1">
      <alignment horizontal="center" vertical="center" wrapText="1"/>
    </xf>
    <xf numFmtId="165" fontId="31" fillId="0" borderId="0" xfId="45" applyNumberFormat="1" applyFont="1" applyAlignment="1">
      <alignment vertical="center" wrapText="1"/>
    </xf>
    <xf numFmtId="0" fontId="31" fillId="0" borderId="0" xfId="45" applyFont="1" applyAlignment="1">
      <alignment vertical="center" wrapText="1"/>
    </xf>
    <xf numFmtId="0" fontId="36" fillId="0" borderId="0" xfId="45" applyFont="1" applyAlignment="1">
      <alignment vertical="center" wrapText="1"/>
    </xf>
    <xf numFmtId="1" fontId="39" fillId="0" borderId="28" xfId="41" applyNumberFormat="1" applyFont="1" applyFill="1" applyBorder="1" applyAlignment="1" applyProtection="1">
      <alignment horizontal="center" vertical="center"/>
    </xf>
    <xf numFmtId="168" fontId="39" fillId="0" borderId="28" xfId="41" applyNumberFormat="1" applyFont="1" applyFill="1" applyBorder="1" applyAlignment="1" applyProtection="1">
      <alignment horizontal="center" vertical="center"/>
    </xf>
    <xf numFmtId="0" fontId="39" fillId="0" borderId="28" xfId="41" applyFont="1" applyFill="1" applyBorder="1" applyAlignment="1">
      <alignment horizontal="center" vertical="center"/>
    </xf>
    <xf numFmtId="170" fontId="39" fillId="0" borderId="28" xfId="41" applyNumberFormat="1" applyFont="1" applyFill="1" applyBorder="1" applyAlignment="1">
      <alignment vertical="center"/>
    </xf>
    <xf numFmtId="173" fontId="39" fillId="0" borderId="28" xfId="103" applyNumberFormat="1" applyFont="1" applyFill="1" applyBorder="1" applyAlignment="1">
      <alignment horizontal="center" vertical="center"/>
    </xf>
    <xf numFmtId="174" fontId="39" fillId="0" borderId="28" xfId="41" applyNumberFormat="1" applyFont="1" applyFill="1" applyBorder="1" applyAlignment="1">
      <alignment horizontal="left" vertical="center"/>
    </xf>
    <xf numFmtId="9" fontId="39" fillId="0" borderId="28" xfId="103" applyFont="1" applyFill="1" applyBorder="1" applyAlignment="1">
      <alignment horizontal="center" vertical="center"/>
    </xf>
    <xf numFmtId="1" fontId="39" fillId="0" borderId="30" xfId="41" applyNumberFormat="1" applyFont="1" applyFill="1" applyBorder="1" applyAlignment="1" applyProtection="1">
      <alignment horizontal="center" vertical="center"/>
    </xf>
    <xf numFmtId="168" fontId="39" fillId="0" borderId="30" xfId="41" applyNumberFormat="1" applyFont="1" applyFill="1" applyBorder="1" applyAlignment="1" applyProtection="1">
      <alignment horizontal="center" vertical="center"/>
    </xf>
    <xf numFmtId="0" fontId="39" fillId="0" borderId="30" xfId="41" applyFont="1" applyFill="1" applyBorder="1" applyAlignment="1">
      <alignment horizontal="center" vertical="center"/>
    </xf>
    <xf numFmtId="170" fontId="39" fillId="0" borderId="30" xfId="41" applyNumberFormat="1" applyFont="1" applyFill="1" applyBorder="1" applyAlignment="1">
      <alignment vertical="center"/>
    </xf>
    <xf numFmtId="169" fontId="39" fillId="0" borderId="30" xfId="41" applyNumberFormat="1" applyFont="1" applyFill="1" applyBorder="1" applyAlignment="1">
      <alignment horizontal="left" vertical="center"/>
    </xf>
    <xf numFmtId="170" fontId="31" fillId="0" borderId="31" xfId="0" applyNumberFormat="1" applyFont="1" applyBorder="1" applyAlignment="1">
      <alignment vertical="center"/>
    </xf>
    <xf numFmtId="164" fontId="39" fillId="0" borderId="28" xfId="41" applyNumberFormat="1" applyFont="1" applyFill="1" applyBorder="1" applyAlignment="1">
      <alignment vertical="center"/>
    </xf>
    <xf numFmtId="164" fontId="39" fillId="0" borderId="33" xfId="41" applyNumberFormat="1" applyFont="1" applyFill="1" applyBorder="1" applyAlignment="1">
      <alignment vertical="center"/>
    </xf>
    <xf numFmtId="174" fontId="39" fillId="0" borderId="33" xfId="41" applyNumberFormat="1" applyFont="1" applyFill="1" applyBorder="1" applyAlignment="1">
      <alignment vertical="center"/>
    </xf>
    <xf numFmtId="164" fontId="39" fillId="0" borderId="32" xfId="41" applyNumberFormat="1" applyFont="1" applyFill="1" applyBorder="1" applyAlignment="1">
      <alignment vertical="center"/>
    </xf>
    <xf numFmtId="0" fontId="39" fillId="0" borderId="35" xfId="41" applyFont="1" applyFill="1" applyBorder="1" applyAlignment="1">
      <alignment vertical="top" wrapText="1"/>
    </xf>
    <xf numFmtId="0" fontId="39" fillId="0" borderId="33" xfId="41" applyFont="1" applyFill="1" applyBorder="1" applyAlignment="1">
      <alignment vertical="top" wrapText="1"/>
    </xf>
    <xf numFmtId="0" fontId="39" fillId="0" borderId="32" xfId="41" applyFont="1" applyFill="1" applyBorder="1" applyAlignment="1">
      <alignment vertical="top" wrapText="1"/>
    </xf>
    <xf numFmtId="0" fontId="32" fillId="0" borderId="34" xfId="45" applyFont="1" applyBorder="1" applyAlignment="1">
      <alignment vertical="center"/>
    </xf>
    <xf numFmtId="0" fontId="32" fillId="0" borderId="0" xfId="0" applyFont="1" applyAlignment="1">
      <alignment horizontal="justify" vertical="center" wrapText="1"/>
    </xf>
    <xf numFmtId="0" fontId="56" fillId="0" borderId="0" xfId="98" applyFont="1" applyAlignment="1">
      <alignment wrapText="1"/>
    </xf>
    <xf numFmtId="0" fontId="39" fillId="0" borderId="28" xfId="41" applyFont="1" applyFill="1" applyBorder="1" applyAlignment="1">
      <alignment vertical="top" wrapText="1"/>
    </xf>
    <xf numFmtId="0" fontId="39" fillId="0" borderId="30" xfId="41" applyFont="1" applyFill="1" applyBorder="1" applyAlignment="1">
      <alignment vertical="top" wrapText="1"/>
    </xf>
    <xf numFmtId="2" fontId="31" fillId="0" borderId="0" xfId="0" applyNumberFormat="1" applyFont="1" applyAlignment="1">
      <alignment vertical="top" wrapText="1"/>
    </xf>
    <xf numFmtId="0" fontId="32" fillId="0" borderId="0" xfId="45" applyFont="1" applyAlignment="1">
      <alignment vertical="center"/>
    </xf>
    <xf numFmtId="0" fontId="32" fillId="0" borderId="0" xfId="45" applyFont="1" applyAlignment="1">
      <alignment horizontal="center" vertical="center" wrapText="1"/>
    </xf>
    <xf numFmtId="0" fontId="32" fillId="0" borderId="0" xfId="45" applyFont="1" applyAlignment="1">
      <alignment horizontal="center" vertical="center"/>
    </xf>
    <xf numFmtId="1" fontId="35" fillId="24" borderId="10" xfId="34" applyNumberFormat="1" applyFont="1" applyFill="1" applyBorder="1" applyAlignment="1" applyProtection="1">
      <alignment horizontal="center" vertical="center" wrapText="1"/>
    </xf>
    <xf numFmtId="2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34" applyFont="1" applyFill="1" applyBorder="1" applyAlignment="1" applyProtection="1">
      <alignment horizontal="center" vertical="center" wrapText="1"/>
    </xf>
    <xf numFmtId="170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102" applyFont="1" applyFill="1" applyBorder="1" applyAlignment="1">
      <alignment wrapText="1"/>
    </xf>
    <xf numFmtId="0" fontId="57" fillId="0" borderId="26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32" fillId="0" borderId="31" xfId="45" applyFont="1" applyBorder="1" applyAlignment="1">
      <alignment horizontal="center" vertical="center" wrapText="1"/>
    </xf>
    <xf numFmtId="0" fontId="32" fillId="0" borderId="31" xfId="45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0" fontId="32" fillId="0" borderId="25" xfId="0" applyNumberFormat="1" applyFont="1" applyBorder="1" applyAlignment="1">
      <alignment vertical="center"/>
    </xf>
    <xf numFmtId="171" fontId="32" fillId="0" borderId="25" xfId="45" applyNumberFormat="1" applyFont="1" applyBorder="1" applyAlignment="1">
      <alignment vertical="center"/>
    </xf>
    <xf numFmtId="172" fontId="32" fillId="0" borderId="27" xfId="45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top"/>
    </xf>
    <xf numFmtId="0" fontId="31" fillId="0" borderId="38" xfId="0" applyFont="1" applyBorder="1" applyAlignment="1">
      <alignment vertical="top"/>
    </xf>
    <xf numFmtId="2" fontId="31" fillId="0" borderId="38" xfId="0" applyNumberFormat="1" applyFont="1" applyBorder="1" applyAlignment="1">
      <alignment vertical="top" wrapText="1"/>
    </xf>
    <xf numFmtId="1" fontId="31" fillId="0" borderId="38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170" fontId="31" fillId="0" borderId="38" xfId="0" applyNumberFormat="1" applyFont="1" applyBorder="1" applyAlignment="1">
      <alignment vertical="center" wrapText="1"/>
    </xf>
    <xf numFmtId="2" fontId="31" fillId="0" borderId="38" xfId="0" applyNumberFormat="1" applyFont="1" applyBorder="1" applyAlignment="1">
      <alignment vertical="center" wrapText="1"/>
    </xf>
    <xf numFmtId="168" fontId="31" fillId="0" borderId="39" xfId="0" applyNumberFormat="1" applyFont="1" applyBorder="1" applyAlignment="1">
      <alignment vertical="center"/>
    </xf>
    <xf numFmtId="0" fontId="35" fillId="0" borderId="40" xfId="102" applyFont="1" applyBorder="1" applyAlignment="1">
      <alignment wrapText="1"/>
    </xf>
    <xf numFmtId="0" fontId="56" fillId="0" borderId="0" xfId="102" applyFont="1" applyAlignment="1">
      <alignment horizontal="right" wrapText="1"/>
    </xf>
    <xf numFmtId="0" fontId="60" fillId="20" borderId="25" xfId="39" applyFont="1" applyBorder="1" applyAlignment="1">
      <alignment vertical="top"/>
    </xf>
    <xf numFmtId="0" fontId="60" fillId="20" borderId="26" xfId="39" applyFont="1" applyBorder="1" applyAlignment="1">
      <alignment vertical="top"/>
    </xf>
    <xf numFmtId="0" fontId="60" fillId="20" borderId="11" xfId="39" applyFont="1" applyBorder="1" applyAlignment="1">
      <alignment vertical="top" wrapText="1"/>
    </xf>
    <xf numFmtId="1" fontId="60" fillId="20" borderId="26" xfId="39" applyNumberFormat="1" applyFont="1" applyBorder="1" applyAlignment="1">
      <alignment vertical="center"/>
    </xf>
    <xf numFmtId="0" fontId="60" fillId="20" borderId="26" xfId="39" applyFont="1" applyBorder="1" applyAlignment="1">
      <alignment vertical="center"/>
    </xf>
    <xf numFmtId="0" fontId="60" fillId="20" borderId="26" xfId="39" applyFont="1" applyBorder="1" applyAlignment="1">
      <alignment horizontal="center" vertical="center"/>
    </xf>
    <xf numFmtId="170" fontId="60" fillId="20" borderId="26" xfId="39" applyNumberFormat="1" applyFont="1" applyBorder="1" applyAlignment="1">
      <alignment vertical="center"/>
    </xf>
    <xf numFmtId="164" fontId="60" fillId="20" borderId="10" xfId="39" applyNumberFormat="1" applyFont="1" applyBorder="1" applyAlignment="1">
      <alignment vertical="center"/>
    </xf>
    <xf numFmtId="165" fontId="61" fillId="0" borderId="0" xfId="45" applyNumberFormat="1" applyFont="1" applyAlignment="1">
      <alignment vertical="center"/>
    </xf>
    <xf numFmtId="0" fontId="61" fillId="0" borderId="0" xfId="45" applyFont="1" applyAlignment="1">
      <alignment vertical="center"/>
    </xf>
    <xf numFmtId="0" fontId="62" fillId="0" borderId="0" xfId="45" applyFont="1" applyAlignment="1">
      <alignment vertical="center"/>
    </xf>
    <xf numFmtId="171" fontId="31" fillId="57" borderId="0" xfId="45" applyNumberFormat="1" applyFont="1" applyFill="1" applyAlignment="1">
      <alignment vertical="center"/>
    </xf>
    <xf numFmtId="0" fontId="32" fillId="0" borderId="31" xfId="45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/>
    </xf>
    <xf numFmtId="0" fontId="11" fillId="25" borderId="41" xfId="0" applyFont="1" applyFill="1" applyBorder="1" applyAlignment="1">
      <alignment horizontal="left" vertical="center"/>
    </xf>
    <xf numFmtId="0" fontId="11" fillId="25" borderId="26" xfId="0" applyFont="1" applyFill="1" applyBorder="1" applyAlignment="1">
      <alignment horizontal="left" vertical="center"/>
    </xf>
    <xf numFmtId="0" fontId="11" fillId="25" borderId="27" xfId="0" applyFont="1" applyFill="1" applyBorder="1" applyAlignment="1">
      <alignment horizontal="left" vertical="center"/>
    </xf>
    <xf numFmtId="0" fontId="63" fillId="24" borderId="41" xfId="0" applyFont="1" applyFill="1" applyBorder="1" applyAlignment="1">
      <alignment horizontal="left" vertical="center"/>
    </xf>
    <xf numFmtId="0" fontId="63" fillId="24" borderId="26" xfId="0" applyFont="1" applyFill="1" applyBorder="1" applyAlignment="1">
      <alignment horizontal="left" vertical="center"/>
    </xf>
    <xf numFmtId="0" fontId="63" fillId="24" borderId="27" xfId="0" applyFont="1" applyFill="1" applyBorder="1" applyAlignment="1">
      <alignment horizontal="left" vertical="center"/>
    </xf>
  </cellXfs>
  <cellStyles count="104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99" xr:uid="{00000000-0005-0000-0000-00004C000000}"/>
    <cellStyle name="Normal 11" xfId="100" xr:uid="{00000000-0005-0000-0000-00004D000000}"/>
    <cellStyle name="Normal 12" xfId="101" xr:uid="{00000000-0005-0000-0000-00004E000000}"/>
    <cellStyle name="Normal 13" xfId="102" xr:uid="{00000000-0005-0000-0000-00004F000000}"/>
    <cellStyle name="Normal 2" xfId="44" xr:uid="{00000000-0005-0000-0000-000050000000}"/>
    <cellStyle name="Normal 2 2" xfId="47" xr:uid="{00000000-0005-0000-0000-000051000000}"/>
    <cellStyle name="Normal 2 3" xfId="45" xr:uid="{00000000-0005-0000-0000-000052000000}"/>
    <cellStyle name="Normal 2 3 2" xfId="52" xr:uid="{00000000-0005-0000-0000-000053000000}"/>
    <cellStyle name="Normal 3" xfId="37" xr:uid="{00000000-0005-0000-0000-000054000000}"/>
    <cellStyle name="Normal 4" xfId="43" xr:uid="{00000000-0005-0000-0000-000055000000}"/>
    <cellStyle name="Normal 4 2" xfId="53" xr:uid="{00000000-0005-0000-0000-000056000000}"/>
    <cellStyle name="Normal 4 3" xfId="51" xr:uid="{00000000-0005-0000-0000-000057000000}"/>
    <cellStyle name="Normal 5" xfId="49" xr:uid="{00000000-0005-0000-0000-000058000000}"/>
    <cellStyle name="Normal 6" xfId="55" xr:uid="{00000000-0005-0000-0000-000059000000}"/>
    <cellStyle name="Normal 7" xfId="54" xr:uid="{00000000-0005-0000-0000-00005A000000}"/>
    <cellStyle name="Normal 8" xfId="97" xr:uid="{00000000-0005-0000-0000-00005B000000}"/>
    <cellStyle name="Normal 9" xfId="98" xr:uid="{00000000-0005-0000-0000-00005C000000}"/>
    <cellStyle name="Note" xfId="38" builtinId="10" customBuiltin="1"/>
    <cellStyle name="Note 2" xfId="70" xr:uid="{00000000-0005-0000-0000-00005E000000}"/>
    <cellStyle name="Output" xfId="39" builtinId="21" customBuiltin="1"/>
    <cellStyle name="Output 2" xfId="65" xr:uid="{00000000-0005-0000-0000-000060000000}"/>
    <cellStyle name="Percent" xfId="103" builtinId="5"/>
    <cellStyle name="Title" xfId="40" builtinId="15" customBuiltin="1"/>
    <cellStyle name="Title 2" xfId="56" xr:uid="{00000000-0005-0000-0000-000063000000}"/>
    <cellStyle name="Total" xfId="41" builtinId="25" customBuiltin="1"/>
    <cellStyle name="Total 2" xfId="72" xr:uid="{00000000-0005-0000-0000-000065000000}"/>
    <cellStyle name="Warning Text" xfId="42" builtinId="11" customBuiltin="1"/>
    <cellStyle name="Warning Text 2" xfId="69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9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E14" sqref="E14"/>
    </sheetView>
  </sheetViews>
  <sheetFormatPr defaultColWidth="9.6328125" defaultRowHeight="15.6"/>
  <cols>
    <col min="1" max="1" width="7.453125" style="1" customWidth="1"/>
    <col min="2" max="3" width="16.453125" style="1" customWidth="1"/>
    <col min="4" max="4" width="98.1796875" style="67" bestFit="1" customWidth="1"/>
    <col min="5" max="5" width="7.81640625" style="20" bestFit="1" customWidth="1"/>
    <col min="6" max="6" width="11.54296875" style="8" customWidth="1"/>
    <col min="7" max="7" width="20.08984375" style="8" customWidth="1"/>
    <col min="8" max="8" width="10.6328125" style="6" customWidth="1"/>
    <col min="9" max="9" width="15.08984375" style="6" bestFit="1" customWidth="1"/>
    <col min="10" max="10" width="15.6328125" style="6" bestFit="1" customWidth="1"/>
    <col min="11" max="11" width="12.36328125" style="6" bestFit="1" customWidth="1"/>
    <col min="12" max="12" width="14" style="6" bestFit="1" customWidth="1"/>
    <col min="13" max="13" width="8.81640625" style="6" bestFit="1" customWidth="1"/>
    <col min="14" max="14" width="13.81640625" style="18" customWidth="1"/>
    <col min="15" max="15" width="14.54296875" style="7" bestFit="1" customWidth="1"/>
    <col min="16" max="16" width="15.81640625" style="9" bestFit="1" customWidth="1"/>
    <col min="17" max="17" width="8.36328125" style="1" customWidth="1"/>
    <col min="18" max="18" width="9.6328125" style="1"/>
    <col min="19" max="19" width="10.36328125" style="1" bestFit="1" customWidth="1"/>
    <col min="20" max="20" width="9.6328125" style="1"/>
    <col min="21" max="21" width="9.6328125" style="12"/>
    <col min="22" max="16384" width="9.6328125" style="1"/>
  </cols>
  <sheetData>
    <row r="1" spans="1:25" ht="24.6">
      <c r="A1" s="111" t="s">
        <v>5</v>
      </c>
      <c r="B1" s="112"/>
      <c r="C1" s="76"/>
      <c r="D1" s="115" t="s">
        <v>115</v>
      </c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80" t="s">
        <v>0</v>
      </c>
      <c r="P1" s="81" t="s">
        <v>1</v>
      </c>
    </row>
    <row r="2" spans="1:25" ht="24.6">
      <c r="A2" s="111" t="s">
        <v>6</v>
      </c>
      <c r="B2" s="112"/>
      <c r="C2" s="76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0" t="s">
        <v>26</v>
      </c>
      <c r="P2" s="109">
        <f>P211</f>
        <v>291496.52181709674</v>
      </c>
    </row>
    <row r="3" spans="1:25" ht="24.6">
      <c r="A3" s="113" t="s">
        <v>4</v>
      </c>
      <c r="B3" s="114"/>
      <c r="C3" s="77"/>
      <c r="D3" s="118">
        <v>45149</v>
      </c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110"/>
      <c r="P3" s="110"/>
    </row>
    <row r="4" spans="1:25" s="5" customFormat="1" ht="31.2">
      <c r="A4" s="71" t="s">
        <v>20</v>
      </c>
      <c r="B4" s="71" t="s">
        <v>27</v>
      </c>
      <c r="C4" s="71" t="s">
        <v>28</v>
      </c>
      <c r="D4" s="72" t="s">
        <v>12</v>
      </c>
      <c r="E4" s="71" t="s">
        <v>13</v>
      </c>
      <c r="F4" s="72" t="s">
        <v>14</v>
      </c>
      <c r="G4" s="72" t="s">
        <v>15</v>
      </c>
      <c r="H4" s="73" t="s">
        <v>7</v>
      </c>
      <c r="I4" s="73" t="s">
        <v>9</v>
      </c>
      <c r="J4" s="73" t="s">
        <v>10</v>
      </c>
      <c r="K4" s="73" t="s">
        <v>16</v>
      </c>
      <c r="L4" s="73" t="s">
        <v>17</v>
      </c>
      <c r="M4" s="73" t="s">
        <v>18</v>
      </c>
      <c r="N4" s="74" t="s">
        <v>8</v>
      </c>
      <c r="O4" s="72" t="s">
        <v>2</v>
      </c>
      <c r="P4" s="73" t="s">
        <v>11</v>
      </c>
      <c r="Q4" s="4"/>
      <c r="R4" s="4"/>
      <c r="S4" s="4"/>
      <c r="T4" s="4"/>
      <c r="U4" s="13"/>
      <c r="V4" s="4"/>
      <c r="W4" s="4"/>
      <c r="X4" s="4"/>
      <c r="Y4" s="4"/>
    </row>
    <row r="5" spans="1:25" s="105" customFormat="1" ht="18">
      <c r="A5" s="96" t="str">
        <f>IF(H5&lt;&gt;"",1+MAX($A5:A$5),"")</f>
        <v/>
      </c>
      <c r="B5" s="97"/>
      <c r="C5" s="97"/>
      <c r="D5" s="98" t="s">
        <v>29</v>
      </c>
      <c r="E5" s="99"/>
      <c r="F5" s="100"/>
      <c r="G5" s="101"/>
      <c r="H5" s="100"/>
      <c r="I5" s="100"/>
      <c r="J5" s="100"/>
      <c r="K5" s="100"/>
      <c r="L5" s="100"/>
      <c r="M5" s="100"/>
      <c r="N5" s="102"/>
      <c r="O5" s="100"/>
      <c r="P5" s="103">
        <f>SUM(O7:O12)</f>
        <v>21406.541600000004</v>
      </c>
      <c r="Q5" s="104"/>
      <c r="R5" s="104"/>
      <c r="U5" s="106"/>
    </row>
    <row r="6" spans="1:25" s="3" customFormat="1">
      <c r="A6" s="33" t="str">
        <f>IF(H6&lt;&gt;"",1+MAX($A$5:A5),"")</f>
        <v/>
      </c>
      <c r="B6" s="62"/>
      <c r="C6" s="68"/>
      <c r="D6" s="63"/>
      <c r="E6" s="15"/>
      <c r="F6" s="16"/>
      <c r="G6" s="21"/>
      <c r="H6" s="17"/>
      <c r="I6" s="17"/>
      <c r="J6" s="17"/>
      <c r="K6" s="17"/>
      <c r="L6" s="17"/>
      <c r="M6" s="17"/>
      <c r="N6" s="82" t="s">
        <v>19</v>
      </c>
      <c r="O6" s="29">
        <v>46</v>
      </c>
      <c r="P6" s="54"/>
      <c r="Q6" s="2"/>
      <c r="R6" s="2"/>
      <c r="U6" s="14"/>
    </row>
    <row r="7" spans="1:25" s="40" customFormat="1">
      <c r="A7" s="33" t="str">
        <f>IF(H7&lt;&gt;"",1+MAX($A$5:A6),"")</f>
        <v/>
      </c>
      <c r="B7" s="108" t="s">
        <v>51</v>
      </c>
      <c r="C7" s="69"/>
      <c r="D7" s="75" t="s">
        <v>113</v>
      </c>
      <c r="E7" s="35"/>
      <c r="F7" s="36"/>
      <c r="G7" s="37"/>
      <c r="H7" s="38"/>
      <c r="I7" s="19"/>
      <c r="J7" s="19"/>
      <c r="K7" s="31"/>
      <c r="L7" s="19"/>
      <c r="M7" s="32"/>
      <c r="N7" s="11"/>
      <c r="O7" s="11"/>
      <c r="P7" s="54"/>
      <c r="Q7" s="39"/>
      <c r="R7" s="39"/>
      <c r="U7" s="41"/>
    </row>
    <row r="8" spans="1:25" s="40" customFormat="1">
      <c r="A8" s="33">
        <f>IF(H8&lt;&gt;"",1+MAX($A$5:A7),"")</f>
        <v>1</v>
      </c>
      <c r="B8" s="108"/>
      <c r="C8" s="69"/>
      <c r="D8" s="27" t="s">
        <v>47</v>
      </c>
      <c r="E8" s="35">
        <v>1268</v>
      </c>
      <c r="F8" s="36">
        <v>0</v>
      </c>
      <c r="G8" s="37">
        <f>(1+F8)*E8</f>
        <v>1268</v>
      </c>
      <c r="H8" s="38" t="s">
        <v>30</v>
      </c>
      <c r="I8" s="107">
        <v>0</v>
      </c>
      <c r="J8" s="107">
        <f t="shared" ref="J8" si="0">I8*G8</f>
        <v>0</v>
      </c>
      <c r="K8" s="31">
        <v>3.32E-2</v>
      </c>
      <c r="L8" s="19">
        <f>$O$6</f>
        <v>46</v>
      </c>
      <c r="M8" s="32">
        <f t="shared" ref="M8" si="1">K8*G8</f>
        <v>42.0976</v>
      </c>
      <c r="N8" s="11">
        <f t="shared" ref="N8" si="2">M8*L8</f>
        <v>1936.4895999999999</v>
      </c>
      <c r="O8" s="11">
        <f t="shared" ref="O8" si="3">N8+J8</f>
        <v>1936.4895999999999</v>
      </c>
      <c r="P8" s="54"/>
      <c r="Q8" s="39"/>
      <c r="R8" s="39"/>
      <c r="U8" s="41"/>
    </row>
    <row r="9" spans="1:25" s="40" customFormat="1">
      <c r="A9" s="33">
        <f>IF(H9&lt;&gt;"",1+MAX($A$5:A8),"")</f>
        <v>2</v>
      </c>
      <c r="B9" s="108"/>
      <c r="C9" s="69"/>
      <c r="D9" s="27" t="s">
        <v>48</v>
      </c>
      <c r="E9" s="35">
        <v>1563</v>
      </c>
      <c r="F9" s="36">
        <v>0</v>
      </c>
      <c r="G9" s="37">
        <f>(1+F9)*E9</f>
        <v>1563</v>
      </c>
      <c r="H9" s="38" t="s">
        <v>30</v>
      </c>
      <c r="I9" s="107">
        <v>0</v>
      </c>
      <c r="J9" s="107">
        <f t="shared" ref="J9:J11" si="4">I9*G9</f>
        <v>0</v>
      </c>
      <c r="K9" s="31">
        <v>3.4000000000000002E-2</v>
      </c>
      <c r="L9" s="19">
        <f t="shared" ref="L9:L11" si="5">$O$6</f>
        <v>46</v>
      </c>
      <c r="M9" s="32">
        <f t="shared" ref="M9:M11" si="6">K9*G9</f>
        <v>53.142000000000003</v>
      </c>
      <c r="N9" s="11">
        <f t="shared" ref="N9:N11" si="7">M9*L9</f>
        <v>2444.5320000000002</v>
      </c>
      <c r="O9" s="11">
        <f t="shared" ref="O9:O11" si="8">N9+J9</f>
        <v>2444.5320000000002</v>
      </c>
      <c r="P9" s="54"/>
      <c r="Q9" s="39"/>
      <c r="R9" s="39"/>
      <c r="U9" s="41"/>
    </row>
    <row r="10" spans="1:25" s="40" customFormat="1">
      <c r="A10" s="33">
        <f>IF(H10&lt;&gt;"",1+MAX($A$5:A9),"")</f>
        <v>3</v>
      </c>
      <c r="B10" s="108"/>
      <c r="C10" s="69"/>
      <c r="D10" s="27" t="s">
        <v>49</v>
      </c>
      <c r="E10" s="35">
        <v>6545</v>
      </c>
      <c r="F10" s="36">
        <v>0</v>
      </c>
      <c r="G10" s="37">
        <f>(1+F10)*E10</f>
        <v>6545</v>
      </c>
      <c r="H10" s="38" t="s">
        <v>30</v>
      </c>
      <c r="I10" s="107">
        <v>0</v>
      </c>
      <c r="J10" s="107">
        <f t="shared" si="4"/>
        <v>0</v>
      </c>
      <c r="K10" s="31">
        <v>0.04</v>
      </c>
      <c r="L10" s="19">
        <f t="shared" si="5"/>
        <v>46</v>
      </c>
      <c r="M10" s="32">
        <f t="shared" si="6"/>
        <v>261.8</v>
      </c>
      <c r="N10" s="11">
        <f t="shared" si="7"/>
        <v>12042.800000000001</v>
      </c>
      <c r="O10" s="11">
        <f t="shared" si="8"/>
        <v>12042.800000000001</v>
      </c>
      <c r="P10" s="54"/>
      <c r="Q10" s="39"/>
      <c r="R10" s="39"/>
      <c r="U10" s="41"/>
    </row>
    <row r="11" spans="1:25" s="40" customFormat="1">
      <c r="A11" s="33">
        <f>IF(H11&lt;&gt;"",1+MAX($A$5:A10),"")</f>
        <v>4</v>
      </c>
      <c r="B11" s="108"/>
      <c r="C11" s="69"/>
      <c r="D11" s="27" t="s">
        <v>50</v>
      </c>
      <c r="E11" s="35">
        <v>2708</v>
      </c>
      <c r="F11" s="36">
        <v>0</v>
      </c>
      <c r="G11" s="37">
        <f>(1+F11)*E11</f>
        <v>2708</v>
      </c>
      <c r="H11" s="38" t="s">
        <v>30</v>
      </c>
      <c r="I11" s="107">
        <v>0</v>
      </c>
      <c r="J11" s="107">
        <f t="shared" si="4"/>
        <v>0</v>
      </c>
      <c r="K11" s="31">
        <v>0.04</v>
      </c>
      <c r="L11" s="19">
        <f t="shared" si="5"/>
        <v>46</v>
      </c>
      <c r="M11" s="32">
        <f t="shared" si="6"/>
        <v>108.32000000000001</v>
      </c>
      <c r="N11" s="11">
        <f t="shared" si="7"/>
        <v>4982.72</v>
      </c>
      <c r="O11" s="11">
        <f t="shared" si="8"/>
        <v>4982.72</v>
      </c>
      <c r="P11" s="54"/>
      <c r="Q11" s="39"/>
      <c r="R11" s="39"/>
      <c r="U11" s="41"/>
    </row>
    <row r="12" spans="1:25" s="40" customFormat="1">
      <c r="A12" s="33" t="str">
        <f>IF(H12&lt;&gt;"",1+MAX($A$5:A11),"")</f>
        <v/>
      </c>
      <c r="B12" s="79"/>
      <c r="C12" s="69"/>
      <c r="D12" s="27"/>
      <c r="E12" s="35"/>
      <c r="F12" s="36"/>
      <c r="G12" s="37"/>
      <c r="H12" s="38"/>
      <c r="I12" s="19"/>
      <c r="J12" s="19"/>
      <c r="K12" s="31"/>
      <c r="L12" s="19"/>
      <c r="M12" s="32"/>
      <c r="N12" s="11"/>
      <c r="O12" s="11"/>
      <c r="P12" s="54"/>
      <c r="Q12" s="39"/>
      <c r="R12" s="39"/>
      <c r="U12" s="41"/>
    </row>
    <row r="13" spans="1:25" s="105" customFormat="1" ht="18">
      <c r="A13" s="96" t="str">
        <f>IF(H13&lt;&gt;"",1+MAX($A$5:A13),"")</f>
        <v/>
      </c>
      <c r="B13" s="97"/>
      <c r="C13" s="97"/>
      <c r="D13" s="98" t="s">
        <v>36</v>
      </c>
      <c r="E13" s="99"/>
      <c r="F13" s="100"/>
      <c r="G13" s="101"/>
      <c r="H13" s="100"/>
      <c r="I13" s="100"/>
      <c r="J13" s="100"/>
      <c r="K13" s="100"/>
      <c r="L13" s="100"/>
      <c r="M13" s="100"/>
      <c r="N13" s="102"/>
      <c r="O13" s="100"/>
      <c r="P13" s="103">
        <f>SUM(O16:O205)</f>
        <v>201109.8872680128</v>
      </c>
      <c r="Q13" s="104"/>
      <c r="R13" s="104"/>
      <c r="U13" s="106"/>
    </row>
    <row r="14" spans="1:25" s="3" customFormat="1">
      <c r="A14" s="33" t="str">
        <f>IF(H14&lt;&gt;"",1+MAX($A$5:A13),"")</f>
        <v/>
      </c>
      <c r="B14" s="62"/>
      <c r="C14" s="68"/>
      <c r="D14" s="63"/>
      <c r="E14" s="15"/>
      <c r="F14" s="16"/>
      <c r="G14" s="21"/>
      <c r="H14" s="17"/>
      <c r="I14" s="17"/>
      <c r="J14" s="17"/>
      <c r="K14" s="17"/>
      <c r="L14" s="17"/>
      <c r="M14" s="17"/>
      <c r="N14" s="82" t="s">
        <v>19</v>
      </c>
      <c r="O14" s="29">
        <v>46</v>
      </c>
      <c r="P14" s="54"/>
      <c r="Q14" s="2"/>
      <c r="R14" s="2"/>
      <c r="U14" s="14"/>
    </row>
    <row r="15" spans="1:25" s="40" customFormat="1">
      <c r="A15" s="33" t="str">
        <f>IF(H15&lt;&gt;"",1+MAX($A$5:A14),"")</f>
        <v/>
      </c>
      <c r="B15" s="108" t="s">
        <v>114</v>
      </c>
      <c r="C15" s="69"/>
      <c r="D15" s="75" t="s">
        <v>52</v>
      </c>
      <c r="E15" s="35"/>
      <c r="F15" s="36"/>
      <c r="G15" s="37"/>
      <c r="H15" s="38"/>
      <c r="I15" s="19"/>
      <c r="J15" s="19"/>
      <c r="K15" s="31"/>
      <c r="L15" s="19"/>
      <c r="M15" s="32"/>
      <c r="N15" s="11"/>
      <c r="O15" s="11"/>
      <c r="P15" s="54"/>
      <c r="Q15" s="39"/>
      <c r="R15" s="39"/>
      <c r="U15" s="41"/>
    </row>
    <row r="16" spans="1:25" s="40" customFormat="1">
      <c r="A16" s="33" t="str">
        <f>IF(H16&lt;&gt;"",1+MAX($A$5:A15),"")</f>
        <v/>
      </c>
      <c r="B16" s="108"/>
      <c r="C16" s="69"/>
      <c r="D16" s="94" t="s">
        <v>53</v>
      </c>
      <c r="E16" s="35"/>
      <c r="F16" s="36"/>
      <c r="G16" s="37"/>
      <c r="H16" s="38"/>
      <c r="I16" s="19"/>
      <c r="J16" s="19"/>
      <c r="K16" s="31"/>
      <c r="L16" s="19"/>
      <c r="M16" s="32"/>
      <c r="N16" s="11"/>
      <c r="O16" s="11"/>
      <c r="P16" s="54"/>
      <c r="Q16" s="39"/>
      <c r="R16" s="39"/>
      <c r="U16" s="41"/>
    </row>
    <row r="17" spans="1:21" s="40" customFormat="1">
      <c r="A17" s="33">
        <f>IF(H17&lt;&gt;"",1+MAX($A$5:A16),"")</f>
        <v>5</v>
      </c>
      <c r="B17" s="108"/>
      <c r="C17" s="69"/>
      <c r="D17" s="27" t="s">
        <v>54</v>
      </c>
      <c r="E17" s="35">
        <v>468</v>
      </c>
      <c r="F17" s="36">
        <v>0.1</v>
      </c>
      <c r="G17" s="37">
        <f>(1+F17)*E17</f>
        <v>514.80000000000007</v>
      </c>
      <c r="H17" s="38" t="s">
        <v>30</v>
      </c>
      <c r="I17" s="19">
        <v>3.6120000000000001</v>
      </c>
      <c r="J17" s="19">
        <f t="shared" ref="J17" si="9">I17*G17</f>
        <v>1859.4576000000002</v>
      </c>
      <c r="K17" s="31">
        <v>3.5700000000000003E-2</v>
      </c>
      <c r="L17" s="19">
        <f>$O$14</f>
        <v>46</v>
      </c>
      <c r="M17" s="32">
        <f t="shared" ref="M17" si="10">K17*G17</f>
        <v>18.378360000000004</v>
      </c>
      <c r="N17" s="11">
        <f t="shared" ref="N17" si="11">M17*L17</f>
        <v>845.40456000000017</v>
      </c>
      <c r="O17" s="11">
        <f t="shared" ref="O17" si="12">N17+J17</f>
        <v>2704.8621600000006</v>
      </c>
      <c r="P17" s="54"/>
      <c r="Q17" s="39"/>
      <c r="R17" s="39"/>
      <c r="U17" s="41"/>
    </row>
    <row r="18" spans="1:21" s="40" customFormat="1">
      <c r="A18" s="33" t="str">
        <f>IF(H18&lt;&gt;"",1+MAX($A$5:A17),"")</f>
        <v/>
      </c>
      <c r="B18" s="108"/>
      <c r="C18" s="69"/>
      <c r="D18" s="27"/>
      <c r="E18" s="35"/>
      <c r="F18" s="36"/>
      <c r="G18" s="37"/>
      <c r="H18" s="38"/>
      <c r="I18" s="19"/>
      <c r="J18" s="19"/>
      <c r="K18" s="31"/>
      <c r="L18" s="19"/>
      <c r="M18" s="32"/>
      <c r="N18" s="11"/>
      <c r="O18" s="11"/>
      <c r="P18" s="54"/>
      <c r="Q18" s="39"/>
      <c r="R18" s="39"/>
      <c r="U18" s="41"/>
    </row>
    <row r="19" spans="1:21" s="40" customFormat="1">
      <c r="A19" s="33" t="str">
        <f>IF(H19&lt;&gt;"",1+MAX($A$5:A18),"")</f>
        <v/>
      </c>
      <c r="B19" s="108"/>
      <c r="C19" s="69"/>
      <c r="D19" s="94" t="s">
        <v>55</v>
      </c>
      <c r="E19" s="35"/>
      <c r="F19" s="36"/>
      <c r="G19" s="37"/>
      <c r="H19" s="38"/>
      <c r="I19" s="19"/>
      <c r="J19" s="19"/>
      <c r="K19" s="31"/>
      <c r="L19" s="19"/>
      <c r="M19" s="32"/>
      <c r="N19" s="11"/>
      <c r="O19" s="11"/>
      <c r="P19" s="54"/>
      <c r="Q19" s="39"/>
      <c r="R19" s="39"/>
      <c r="U19" s="41"/>
    </row>
    <row r="20" spans="1:21" s="40" customFormat="1">
      <c r="A20" s="33">
        <f>IF(H20&lt;&gt;"",1+MAX($A$5:A19),"")</f>
        <v>6</v>
      </c>
      <c r="B20" s="108"/>
      <c r="C20" s="69"/>
      <c r="D20" s="27" t="s">
        <v>56</v>
      </c>
      <c r="E20" s="35">
        <v>500</v>
      </c>
      <c r="F20" s="36">
        <v>0.1</v>
      </c>
      <c r="G20" s="37">
        <f>(1+F20)*E20</f>
        <v>550</v>
      </c>
      <c r="H20" s="38" t="s">
        <v>30</v>
      </c>
      <c r="I20" s="19">
        <v>5.2709999999999999</v>
      </c>
      <c r="J20" s="19">
        <f t="shared" ref="J20:J24" si="13">I20*G20</f>
        <v>2899.0499999999997</v>
      </c>
      <c r="K20" s="31">
        <v>5.2500000000000005E-2</v>
      </c>
      <c r="L20" s="19">
        <f t="shared" ref="L20:L24" si="14">$O$14</f>
        <v>46</v>
      </c>
      <c r="M20" s="32">
        <f t="shared" ref="M20:M24" si="15">K20*G20</f>
        <v>28.875000000000004</v>
      </c>
      <c r="N20" s="11">
        <f t="shared" ref="N20:N24" si="16">M20*L20</f>
        <v>1328.2500000000002</v>
      </c>
      <c r="O20" s="11">
        <f t="shared" ref="O20:O24" si="17">N20+J20</f>
        <v>4227.3</v>
      </c>
      <c r="P20" s="54"/>
      <c r="Q20" s="39"/>
      <c r="R20" s="39"/>
      <c r="U20" s="41"/>
    </row>
    <row r="21" spans="1:21" s="40" customFormat="1">
      <c r="A21" s="33">
        <f>IF(H21&lt;&gt;"",1+MAX($A$5:A20),"")</f>
        <v>7</v>
      </c>
      <c r="B21" s="108"/>
      <c r="C21" s="69"/>
      <c r="D21" s="27" t="s">
        <v>57</v>
      </c>
      <c r="E21" s="35">
        <v>50.88</v>
      </c>
      <c r="F21" s="36">
        <v>0.1</v>
      </c>
      <c r="G21" s="37">
        <f>(1+F21)*E21</f>
        <v>55.968000000000011</v>
      </c>
      <c r="H21" s="38" t="s">
        <v>3</v>
      </c>
      <c r="I21" s="19">
        <v>6.6465000000000005</v>
      </c>
      <c r="J21" s="19">
        <f t="shared" si="13"/>
        <v>371.99131200000011</v>
      </c>
      <c r="K21" s="31">
        <v>6.93E-2</v>
      </c>
      <c r="L21" s="19">
        <f t="shared" si="14"/>
        <v>46</v>
      </c>
      <c r="M21" s="32">
        <f t="shared" si="15"/>
        <v>3.8785824000000009</v>
      </c>
      <c r="N21" s="11">
        <f t="shared" si="16"/>
        <v>178.41479040000004</v>
      </c>
      <c r="O21" s="11">
        <f t="shared" si="17"/>
        <v>550.40610240000012</v>
      </c>
      <c r="P21" s="54"/>
      <c r="Q21" s="39"/>
      <c r="R21" s="39"/>
      <c r="U21" s="41"/>
    </row>
    <row r="22" spans="1:21" s="40" customFormat="1">
      <c r="A22" s="33">
        <f>IF(H22&lt;&gt;"",1+MAX($A$5:A21),"")</f>
        <v>8</v>
      </c>
      <c r="B22" s="108"/>
      <c r="C22" s="69"/>
      <c r="D22" s="27" t="s">
        <v>58</v>
      </c>
      <c r="E22" s="35">
        <v>216.5</v>
      </c>
      <c r="F22" s="36">
        <v>0.1</v>
      </c>
      <c r="G22" s="37">
        <f>(1+F22)*E22</f>
        <v>238.15</v>
      </c>
      <c r="H22" s="38" t="s">
        <v>3</v>
      </c>
      <c r="I22" s="19">
        <v>2.919</v>
      </c>
      <c r="J22" s="19">
        <f t="shared" si="13"/>
        <v>695.15985000000001</v>
      </c>
      <c r="K22" s="31">
        <v>3.15E-2</v>
      </c>
      <c r="L22" s="19">
        <f t="shared" si="14"/>
        <v>46</v>
      </c>
      <c r="M22" s="32">
        <f t="shared" si="15"/>
        <v>7.5017250000000004</v>
      </c>
      <c r="N22" s="11">
        <f t="shared" si="16"/>
        <v>345.07935000000003</v>
      </c>
      <c r="O22" s="11">
        <f t="shared" si="17"/>
        <v>1040.2392</v>
      </c>
      <c r="P22" s="54"/>
      <c r="Q22" s="39"/>
      <c r="R22" s="39"/>
      <c r="U22" s="41"/>
    </row>
    <row r="23" spans="1:21" s="40" customFormat="1">
      <c r="A23" s="33">
        <f>IF(H23&lt;&gt;"",1+MAX($A$5:A22),"")</f>
        <v>9</v>
      </c>
      <c r="B23" s="108"/>
      <c r="C23" s="69"/>
      <c r="D23" s="27" t="s">
        <v>59</v>
      </c>
      <c r="E23" s="35">
        <f>216.5+50.88</f>
        <v>267.38</v>
      </c>
      <c r="F23" s="36">
        <v>0.1</v>
      </c>
      <c r="G23" s="37">
        <f>(1+F23)*E23</f>
        <v>294.11799999999999</v>
      </c>
      <c r="H23" s="38" t="s">
        <v>3</v>
      </c>
      <c r="I23" s="19">
        <v>3.3600000000000003</v>
      </c>
      <c r="J23" s="19">
        <f t="shared" si="13"/>
        <v>988.23648000000003</v>
      </c>
      <c r="K23" s="31">
        <v>3.15E-2</v>
      </c>
      <c r="L23" s="19">
        <f t="shared" si="14"/>
        <v>46</v>
      </c>
      <c r="M23" s="32">
        <f t="shared" si="15"/>
        <v>9.2647169999999992</v>
      </c>
      <c r="N23" s="11">
        <f t="shared" si="16"/>
        <v>426.17698199999995</v>
      </c>
      <c r="O23" s="11">
        <f t="shared" si="17"/>
        <v>1414.413462</v>
      </c>
      <c r="P23" s="54"/>
      <c r="Q23" s="39"/>
      <c r="R23" s="39"/>
      <c r="U23" s="41"/>
    </row>
    <row r="24" spans="1:21" s="40" customFormat="1">
      <c r="A24" s="33">
        <f>IF(H24&lt;&gt;"",1+MAX($A$5:A23),"")</f>
        <v>10</v>
      </c>
      <c r="B24" s="108"/>
      <c r="C24" s="69"/>
      <c r="D24" s="27" t="s">
        <v>60</v>
      </c>
      <c r="E24" s="35">
        <f>3*216.5+3*50.88</f>
        <v>802.14</v>
      </c>
      <c r="F24" s="36">
        <v>0.1</v>
      </c>
      <c r="G24" s="37">
        <f>(1+F24)*E24</f>
        <v>882.35400000000004</v>
      </c>
      <c r="H24" s="38" t="s">
        <v>3</v>
      </c>
      <c r="I24" s="19">
        <v>3.8640000000000003</v>
      </c>
      <c r="J24" s="19">
        <f t="shared" si="13"/>
        <v>3409.4158560000005</v>
      </c>
      <c r="K24" s="31">
        <v>3.15E-2</v>
      </c>
      <c r="L24" s="19">
        <f t="shared" si="14"/>
        <v>46</v>
      </c>
      <c r="M24" s="32">
        <f t="shared" si="15"/>
        <v>27.794151000000003</v>
      </c>
      <c r="N24" s="11">
        <f t="shared" si="16"/>
        <v>1278.5309460000001</v>
      </c>
      <c r="O24" s="11">
        <f t="shared" si="17"/>
        <v>4687.9468020000004</v>
      </c>
      <c r="P24" s="54"/>
      <c r="Q24" s="39"/>
      <c r="R24" s="39"/>
      <c r="U24" s="41"/>
    </row>
    <row r="25" spans="1:21" s="40" customFormat="1">
      <c r="A25" s="33" t="str">
        <f>IF(H25&lt;&gt;"",1+MAX($A$5:A24),"")</f>
        <v/>
      </c>
      <c r="B25" s="108"/>
      <c r="C25" s="69"/>
      <c r="D25" s="27"/>
      <c r="E25" s="35"/>
      <c r="F25" s="36"/>
      <c r="G25" s="37"/>
      <c r="H25" s="38"/>
      <c r="I25" s="19"/>
      <c r="J25" s="19"/>
      <c r="K25" s="31"/>
      <c r="L25" s="19"/>
      <c r="M25" s="32"/>
      <c r="N25" s="11"/>
      <c r="O25" s="11"/>
      <c r="P25" s="54"/>
      <c r="Q25" s="39"/>
      <c r="R25" s="39"/>
      <c r="U25" s="41"/>
    </row>
    <row r="26" spans="1:21" s="40" customFormat="1">
      <c r="A26" s="33" t="str">
        <f>IF(H26&lt;&gt;"",1+MAX($A$5:A25),"")</f>
        <v/>
      </c>
      <c r="B26" s="108"/>
      <c r="C26" s="69"/>
      <c r="D26" s="94" t="s">
        <v>61</v>
      </c>
      <c r="E26" s="35"/>
      <c r="F26" s="36"/>
      <c r="G26" s="37"/>
      <c r="H26" s="38"/>
      <c r="I26" s="19"/>
      <c r="J26" s="19"/>
      <c r="K26" s="31"/>
      <c r="L26" s="19"/>
      <c r="M26" s="32"/>
      <c r="N26" s="11"/>
      <c r="O26" s="11"/>
      <c r="P26" s="54"/>
      <c r="Q26" s="39"/>
      <c r="R26" s="39"/>
      <c r="U26" s="41"/>
    </row>
    <row r="27" spans="1:21" s="40" customFormat="1">
      <c r="A27" s="33">
        <f>IF(H27&lt;&gt;"",1+MAX($A$5:A26),"")</f>
        <v>11</v>
      </c>
      <c r="B27" s="108"/>
      <c r="C27" s="69"/>
      <c r="D27" s="27" t="s">
        <v>62</v>
      </c>
      <c r="E27" s="35">
        <f>2*267</f>
        <v>534</v>
      </c>
      <c r="F27" s="36">
        <v>0.1</v>
      </c>
      <c r="G27" s="37">
        <f>(1+F27)*E27</f>
        <v>587.40000000000009</v>
      </c>
      <c r="H27" s="38" t="s">
        <v>30</v>
      </c>
      <c r="I27" s="19">
        <v>0.99119999999999997</v>
      </c>
      <c r="J27" s="19">
        <f t="shared" ref="J27" si="18">I27*G27</f>
        <v>582.23088000000007</v>
      </c>
      <c r="K27" s="31">
        <v>2.5620000000000004E-2</v>
      </c>
      <c r="L27" s="19">
        <f>$O$14</f>
        <v>46</v>
      </c>
      <c r="M27" s="32">
        <f t="shared" ref="M27" si="19">K27*G27</f>
        <v>15.049188000000004</v>
      </c>
      <c r="N27" s="11">
        <f t="shared" ref="N27" si="20">M27*L27</f>
        <v>692.26264800000024</v>
      </c>
      <c r="O27" s="11">
        <f t="shared" ref="O27" si="21">N27+J27</f>
        <v>1274.4935280000004</v>
      </c>
      <c r="P27" s="54"/>
      <c r="Q27" s="39"/>
      <c r="R27" s="39"/>
      <c r="U27" s="41"/>
    </row>
    <row r="28" spans="1:21" s="40" customFormat="1">
      <c r="A28" s="33" t="str">
        <f>IF(H28&lt;&gt;"",1+MAX($A$5:A27),"")</f>
        <v/>
      </c>
      <c r="B28" s="108"/>
      <c r="C28" s="69"/>
      <c r="D28" s="95" t="s">
        <v>34</v>
      </c>
      <c r="E28" s="35">
        <f>ROUNDUP(G27/32,0)</f>
        <v>19</v>
      </c>
      <c r="F28" s="36"/>
      <c r="G28" s="37"/>
      <c r="H28" s="38"/>
      <c r="I28" s="19"/>
      <c r="J28" s="19"/>
      <c r="K28" s="31"/>
      <c r="L28" s="19"/>
      <c r="M28" s="32"/>
      <c r="N28" s="11"/>
      <c r="O28" s="11"/>
      <c r="P28" s="54"/>
      <c r="Q28" s="39"/>
      <c r="R28" s="39"/>
      <c r="U28" s="41"/>
    </row>
    <row r="29" spans="1:21" s="40" customFormat="1">
      <c r="A29" s="33" t="str">
        <f>IF(H29&lt;&gt;"",1+MAX($A$5:A28),"")</f>
        <v/>
      </c>
      <c r="B29" s="108"/>
      <c r="C29" s="69"/>
      <c r="D29" s="95" t="s">
        <v>31</v>
      </c>
      <c r="E29" s="35">
        <f>E28*48</f>
        <v>912</v>
      </c>
      <c r="F29" s="36"/>
      <c r="G29" s="37"/>
      <c r="H29" s="38"/>
      <c r="I29" s="19"/>
      <c r="J29" s="19"/>
      <c r="K29" s="31"/>
      <c r="L29" s="19"/>
      <c r="M29" s="32"/>
      <c r="N29" s="11"/>
      <c r="O29" s="11"/>
      <c r="P29" s="54"/>
      <c r="Q29" s="39"/>
      <c r="R29" s="39"/>
      <c r="U29" s="41"/>
    </row>
    <row r="30" spans="1:21" s="40" customFormat="1">
      <c r="A30" s="33" t="str">
        <f>IF(H30&lt;&gt;"",1+MAX($A$5:A29),"")</f>
        <v/>
      </c>
      <c r="B30" s="108"/>
      <c r="C30" s="69"/>
      <c r="D30" s="95" t="s">
        <v>32</v>
      </c>
      <c r="E30" s="35">
        <f>E28</f>
        <v>19</v>
      </c>
      <c r="F30" s="36"/>
      <c r="G30" s="37"/>
      <c r="H30" s="38"/>
      <c r="I30" s="19"/>
      <c r="J30" s="19"/>
      <c r="K30" s="31"/>
      <c r="L30" s="19"/>
      <c r="M30" s="32"/>
      <c r="N30" s="11"/>
      <c r="O30" s="11"/>
      <c r="P30" s="54"/>
      <c r="Q30" s="39"/>
      <c r="R30" s="39"/>
      <c r="U30" s="41"/>
    </row>
    <row r="31" spans="1:21" s="40" customFormat="1">
      <c r="A31" s="33" t="str">
        <f>IF(H31&lt;&gt;"",1+MAX($A$5:A30),"")</f>
        <v/>
      </c>
      <c r="B31" s="108"/>
      <c r="C31" s="69"/>
      <c r="D31" s="95" t="s">
        <v>33</v>
      </c>
      <c r="E31" s="35">
        <f>E28*14</f>
        <v>266</v>
      </c>
      <c r="F31" s="36"/>
      <c r="G31" s="37"/>
      <c r="H31" s="38"/>
      <c r="I31" s="19"/>
      <c r="J31" s="19"/>
      <c r="K31" s="31"/>
      <c r="L31" s="19"/>
      <c r="M31" s="32"/>
      <c r="N31" s="11"/>
      <c r="O31" s="11"/>
      <c r="P31" s="54"/>
      <c r="Q31" s="39"/>
      <c r="R31" s="39"/>
      <c r="U31" s="41"/>
    </row>
    <row r="32" spans="1:21" s="40" customFormat="1">
      <c r="A32" s="33">
        <f>IF(H32&lt;&gt;"",1+MAX($A$5:A31),"")</f>
        <v>12</v>
      </c>
      <c r="B32" s="108"/>
      <c r="C32" s="69"/>
      <c r="D32" s="27" t="s">
        <v>63</v>
      </c>
      <c r="E32" s="35">
        <v>267</v>
      </c>
      <c r="F32" s="36">
        <v>0.1</v>
      </c>
      <c r="G32" s="37">
        <f>(1+F32)*E32</f>
        <v>293.70000000000005</v>
      </c>
      <c r="H32" s="38" t="s">
        <v>30</v>
      </c>
      <c r="I32" s="19">
        <v>4.0215000000000005</v>
      </c>
      <c r="J32" s="19">
        <f t="shared" ref="J32:J36" si="22">I32*G32</f>
        <v>1181.1145500000002</v>
      </c>
      <c r="K32" s="31">
        <v>4.2000000000000003E-2</v>
      </c>
      <c r="L32" s="19">
        <f t="shared" ref="L32:L36" si="23">$O$14</f>
        <v>46</v>
      </c>
      <c r="M32" s="32">
        <f t="shared" ref="M32:M36" si="24">K32*G32</f>
        <v>12.335400000000003</v>
      </c>
      <c r="N32" s="11">
        <f t="shared" ref="N32:N36" si="25">M32*L32</f>
        <v>567.42840000000012</v>
      </c>
      <c r="O32" s="11">
        <f t="shared" ref="O32:O36" si="26">N32+J32</f>
        <v>1748.5429500000005</v>
      </c>
      <c r="P32" s="54"/>
      <c r="Q32" s="39"/>
      <c r="R32" s="39"/>
      <c r="U32" s="41"/>
    </row>
    <row r="33" spans="1:21" s="40" customFormat="1">
      <c r="A33" s="33">
        <f>IF(H33&lt;&gt;"",1+MAX($A$5:A32),"")</f>
        <v>13</v>
      </c>
      <c r="B33" s="108"/>
      <c r="C33" s="69"/>
      <c r="D33" s="27" t="s">
        <v>35</v>
      </c>
      <c r="E33" s="35">
        <f>4*17.98</f>
        <v>71.92</v>
      </c>
      <c r="F33" s="36">
        <v>0.1</v>
      </c>
      <c r="G33" s="37">
        <f>(1+F33)*E33</f>
        <v>79.112000000000009</v>
      </c>
      <c r="H33" s="38" t="s">
        <v>3</v>
      </c>
      <c r="I33" s="19">
        <v>0.47250000000000003</v>
      </c>
      <c r="J33" s="19">
        <f t="shared" si="22"/>
        <v>37.380420000000008</v>
      </c>
      <c r="K33" s="31">
        <v>5.6700000000000006E-3</v>
      </c>
      <c r="L33" s="19">
        <f t="shared" si="23"/>
        <v>46</v>
      </c>
      <c r="M33" s="32">
        <f t="shared" si="24"/>
        <v>0.44856504000000008</v>
      </c>
      <c r="N33" s="11">
        <f t="shared" si="25"/>
        <v>20.633991840000004</v>
      </c>
      <c r="O33" s="11">
        <f t="shared" si="26"/>
        <v>58.014411840000008</v>
      </c>
      <c r="P33" s="54"/>
      <c r="Q33" s="39"/>
      <c r="R33" s="39"/>
      <c r="U33" s="41"/>
    </row>
    <row r="34" spans="1:21" s="40" customFormat="1">
      <c r="A34" s="33">
        <f>IF(H34&lt;&gt;"",1+MAX($A$5:A33),"")</f>
        <v>14</v>
      </c>
      <c r="B34" s="108"/>
      <c r="C34" s="69"/>
      <c r="D34" s="27" t="s">
        <v>64</v>
      </c>
      <c r="E34" s="35">
        <f>2*17.98</f>
        <v>35.96</v>
      </c>
      <c r="F34" s="36">
        <v>0.1</v>
      </c>
      <c r="G34" s="37">
        <f>(1+F34)*E34</f>
        <v>39.556000000000004</v>
      </c>
      <c r="H34" s="38" t="s">
        <v>3</v>
      </c>
      <c r="I34" s="19">
        <v>2.919</v>
      </c>
      <c r="J34" s="19">
        <f t="shared" si="22"/>
        <v>115.46396400000002</v>
      </c>
      <c r="K34" s="31">
        <v>3.15E-2</v>
      </c>
      <c r="L34" s="19">
        <f t="shared" si="23"/>
        <v>46</v>
      </c>
      <c r="M34" s="32">
        <f t="shared" si="24"/>
        <v>1.2460140000000002</v>
      </c>
      <c r="N34" s="11">
        <f t="shared" si="25"/>
        <v>57.316644000000011</v>
      </c>
      <c r="O34" s="11">
        <f t="shared" si="26"/>
        <v>172.78060800000003</v>
      </c>
      <c r="P34" s="54"/>
      <c r="Q34" s="39"/>
      <c r="R34" s="39"/>
      <c r="U34" s="41"/>
    </row>
    <row r="35" spans="1:21" s="40" customFormat="1">
      <c r="A35" s="33">
        <f>IF(H35&lt;&gt;"",1+MAX($A$5:A34),"")</f>
        <v>15</v>
      </c>
      <c r="B35" s="108"/>
      <c r="C35" s="69"/>
      <c r="D35" s="27" t="s">
        <v>65</v>
      </c>
      <c r="E35" s="35">
        <f>2*17.98</f>
        <v>35.96</v>
      </c>
      <c r="F35" s="36">
        <v>0.1</v>
      </c>
      <c r="G35" s="37">
        <f>(1+F35)*E35</f>
        <v>39.556000000000004</v>
      </c>
      <c r="H35" s="38" t="s">
        <v>3</v>
      </c>
      <c r="I35" s="19">
        <v>3.3600000000000003</v>
      </c>
      <c r="J35" s="19">
        <f t="shared" si="22"/>
        <v>132.90816000000004</v>
      </c>
      <c r="K35" s="31">
        <v>3.15E-2</v>
      </c>
      <c r="L35" s="19">
        <f t="shared" si="23"/>
        <v>46</v>
      </c>
      <c r="M35" s="32">
        <f t="shared" si="24"/>
        <v>1.2460140000000002</v>
      </c>
      <c r="N35" s="11">
        <f t="shared" si="25"/>
        <v>57.316644000000011</v>
      </c>
      <c r="O35" s="11">
        <f t="shared" si="26"/>
        <v>190.22480400000006</v>
      </c>
      <c r="P35" s="54"/>
      <c r="Q35" s="39"/>
      <c r="R35" s="39"/>
      <c r="U35" s="41"/>
    </row>
    <row r="36" spans="1:21" s="40" customFormat="1">
      <c r="A36" s="33">
        <f>IF(H36&lt;&gt;"",1+MAX($A$5:A35),"")</f>
        <v>16</v>
      </c>
      <c r="B36" s="108"/>
      <c r="C36" s="69"/>
      <c r="D36" s="27" t="s">
        <v>66</v>
      </c>
      <c r="E36" s="35">
        <f>2*3*17.98</f>
        <v>107.88</v>
      </c>
      <c r="F36" s="36">
        <v>0.1</v>
      </c>
      <c r="G36" s="37">
        <f>(1+F36)*E36</f>
        <v>118.66800000000001</v>
      </c>
      <c r="H36" s="38" t="s">
        <v>3</v>
      </c>
      <c r="I36" s="19">
        <v>3.8640000000000003</v>
      </c>
      <c r="J36" s="19">
        <f t="shared" si="22"/>
        <v>458.53315200000009</v>
      </c>
      <c r="K36" s="31">
        <v>3.15E-2</v>
      </c>
      <c r="L36" s="19">
        <f t="shared" si="23"/>
        <v>46</v>
      </c>
      <c r="M36" s="32">
        <f t="shared" si="24"/>
        <v>3.7380420000000001</v>
      </c>
      <c r="N36" s="11">
        <f t="shared" si="25"/>
        <v>171.94993199999999</v>
      </c>
      <c r="O36" s="11">
        <f t="shared" si="26"/>
        <v>630.48308400000008</v>
      </c>
      <c r="P36" s="54"/>
      <c r="Q36" s="39"/>
      <c r="R36" s="39"/>
      <c r="U36" s="41"/>
    </row>
    <row r="37" spans="1:21" s="40" customFormat="1">
      <c r="A37" s="33" t="str">
        <f>IF(H37&lt;&gt;"",1+MAX($A$5:A36),"")</f>
        <v/>
      </c>
      <c r="B37" s="108"/>
      <c r="C37" s="69"/>
      <c r="D37" s="27"/>
      <c r="E37" s="35"/>
      <c r="F37" s="36"/>
      <c r="G37" s="37"/>
      <c r="H37" s="38"/>
      <c r="I37" s="19"/>
      <c r="J37" s="19"/>
      <c r="K37" s="31"/>
      <c r="L37" s="19"/>
      <c r="M37" s="32"/>
      <c r="N37" s="11"/>
      <c r="O37" s="11"/>
      <c r="P37" s="54"/>
      <c r="Q37" s="39"/>
      <c r="R37" s="39"/>
      <c r="U37" s="41"/>
    </row>
    <row r="38" spans="1:21" s="40" customFormat="1">
      <c r="A38" s="33" t="str">
        <f>IF(H38&lt;&gt;"",1+MAX($A$5:A37),"")</f>
        <v/>
      </c>
      <c r="B38" s="108"/>
      <c r="C38" s="69"/>
      <c r="D38" s="94" t="s">
        <v>67</v>
      </c>
      <c r="E38" s="35"/>
      <c r="F38" s="36"/>
      <c r="G38" s="37"/>
      <c r="H38" s="38"/>
      <c r="I38" s="19"/>
      <c r="J38" s="19"/>
      <c r="K38" s="31"/>
      <c r="L38" s="19"/>
      <c r="M38" s="32"/>
      <c r="N38" s="11"/>
      <c r="O38" s="11"/>
      <c r="P38" s="54"/>
      <c r="Q38" s="39"/>
      <c r="R38" s="39"/>
      <c r="U38" s="41"/>
    </row>
    <row r="39" spans="1:21" s="40" customFormat="1">
      <c r="A39" s="33">
        <f>IF(H39&lt;&gt;"",1+MAX($A$5:A38),"")</f>
        <v>17</v>
      </c>
      <c r="B39" s="108"/>
      <c r="C39" s="69"/>
      <c r="D39" s="27" t="s">
        <v>62</v>
      </c>
      <c r="E39" s="35">
        <f>2*267</f>
        <v>534</v>
      </c>
      <c r="F39" s="36">
        <v>0.1</v>
      </c>
      <c r="G39" s="37">
        <f>(1+F39)*E39</f>
        <v>587.40000000000009</v>
      </c>
      <c r="H39" s="38" t="s">
        <v>30</v>
      </c>
      <c r="I39" s="19">
        <v>0.99119999999999997</v>
      </c>
      <c r="J39" s="19">
        <f t="shared" ref="J39" si="27">I39*G39</f>
        <v>582.23088000000007</v>
      </c>
      <c r="K39" s="31">
        <v>2.5620000000000004E-2</v>
      </c>
      <c r="L39" s="19">
        <f>$O$14</f>
        <v>46</v>
      </c>
      <c r="M39" s="32">
        <f t="shared" ref="M39" si="28">K39*G39</f>
        <v>15.049188000000004</v>
      </c>
      <c r="N39" s="11">
        <f t="shared" ref="N39" si="29">M39*L39</f>
        <v>692.26264800000024</v>
      </c>
      <c r="O39" s="11">
        <f t="shared" ref="O39" si="30">N39+J39</f>
        <v>1274.4935280000004</v>
      </c>
      <c r="P39" s="54"/>
      <c r="Q39" s="39"/>
      <c r="R39" s="39"/>
      <c r="U39" s="41"/>
    </row>
    <row r="40" spans="1:21" s="40" customFormat="1">
      <c r="A40" s="33" t="str">
        <f>IF(H40&lt;&gt;"",1+MAX($A$5:A39),"")</f>
        <v/>
      </c>
      <c r="B40" s="108"/>
      <c r="C40" s="69"/>
      <c r="D40" s="95" t="s">
        <v>34</v>
      </c>
      <c r="E40" s="35">
        <f>ROUNDUP(G39/32,0)</f>
        <v>19</v>
      </c>
      <c r="F40" s="36"/>
      <c r="G40" s="37"/>
      <c r="H40" s="38"/>
      <c r="I40" s="19"/>
      <c r="J40" s="19"/>
      <c r="K40" s="31"/>
      <c r="L40" s="19"/>
      <c r="M40" s="32"/>
      <c r="N40" s="11"/>
      <c r="O40" s="11"/>
      <c r="P40" s="54"/>
      <c r="Q40" s="39"/>
      <c r="R40" s="39"/>
      <c r="U40" s="41"/>
    </row>
    <row r="41" spans="1:21" s="40" customFormat="1">
      <c r="A41" s="33" t="str">
        <f>IF(H41&lt;&gt;"",1+MAX($A$5:A40),"")</f>
        <v/>
      </c>
      <c r="B41" s="108"/>
      <c r="C41" s="69"/>
      <c r="D41" s="95" t="s">
        <v>31</v>
      </c>
      <c r="E41" s="35">
        <f>E40*48</f>
        <v>912</v>
      </c>
      <c r="F41" s="36"/>
      <c r="G41" s="37"/>
      <c r="H41" s="38"/>
      <c r="I41" s="19"/>
      <c r="J41" s="19"/>
      <c r="K41" s="31"/>
      <c r="L41" s="19"/>
      <c r="M41" s="32"/>
      <c r="N41" s="11"/>
      <c r="O41" s="11"/>
      <c r="P41" s="54"/>
      <c r="Q41" s="39"/>
      <c r="R41" s="39"/>
      <c r="U41" s="41"/>
    </row>
    <row r="42" spans="1:21" s="40" customFormat="1">
      <c r="A42" s="33" t="str">
        <f>IF(H42&lt;&gt;"",1+MAX($A$5:A41),"")</f>
        <v/>
      </c>
      <c r="B42" s="108"/>
      <c r="C42" s="69"/>
      <c r="D42" s="95" t="s">
        <v>32</v>
      </c>
      <c r="E42" s="35">
        <f>E40</f>
        <v>19</v>
      </c>
      <c r="F42" s="36"/>
      <c r="G42" s="37"/>
      <c r="H42" s="38"/>
      <c r="I42" s="19"/>
      <c r="J42" s="19"/>
      <c r="K42" s="31"/>
      <c r="L42" s="19"/>
      <c r="M42" s="32"/>
      <c r="N42" s="11"/>
      <c r="O42" s="11"/>
      <c r="P42" s="54"/>
      <c r="Q42" s="39"/>
      <c r="R42" s="39"/>
      <c r="U42" s="41"/>
    </row>
    <row r="43" spans="1:21" s="40" customFormat="1">
      <c r="A43" s="33" t="str">
        <f>IF(H43&lt;&gt;"",1+MAX($A$5:A42),"")</f>
        <v/>
      </c>
      <c r="B43" s="108"/>
      <c r="C43" s="69"/>
      <c r="D43" s="95" t="s">
        <v>33</v>
      </c>
      <c r="E43" s="35">
        <f>E40*14</f>
        <v>266</v>
      </c>
      <c r="F43" s="36"/>
      <c r="G43" s="37"/>
      <c r="H43" s="38"/>
      <c r="I43" s="19"/>
      <c r="J43" s="19"/>
      <c r="K43" s="31"/>
      <c r="L43" s="19"/>
      <c r="M43" s="32"/>
      <c r="N43" s="11"/>
      <c r="O43" s="11"/>
      <c r="P43" s="54"/>
      <c r="Q43" s="39"/>
      <c r="R43" s="39"/>
      <c r="U43" s="41"/>
    </row>
    <row r="44" spans="1:21" s="40" customFormat="1">
      <c r="A44" s="33">
        <f>IF(H44&lt;&gt;"",1+MAX($A$5:A43),"")</f>
        <v>18</v>
      </c>
      <c r="B44" s="108"/>
      <c r="C44" s="69"/>
      <c r="D44" s="27" t="s">
        <v>68</v>
      </c>
      <c r="E44" s="35">
        <f>2*267</f>
        <v>534</v>
      </c>
      <c r="F44" s="36">
        <v>0.1</v>
      </c>
      <c r="G44" s="37">
        <f>(1+F44)*E44</f>
        <v>587.40000000000009</v>
      </c>
      <c r="H44" s="38" t="s">
        <v>30</v>
      </c>
      <c r="I44" s="19">
        <v>8.043000000000001</v>
      </c>
      <c r="J44" s="19">
        <f t="shared" ref="J44:J48" si="31">I44*G44</f>
        <v>4724.4582000000009</v>
      </c>
      <c r="K44" s="31">
        <v>8.4000000000000005E-2</v>
      </c>
      <c r="L44" s="19">
        <f t="shared" ref="L44:L48" si="32">$O$14</f>
        <v>46</v>
      </c>
      <c r="M44" s="32">
        <f t="shared" ref="M44:M48" si="33">K44*G44</f>
        <v>49.341600000000014</v>
      </c>
      <c r="N44" s="11">
        <f t="shared" ref="N44:N48" si="34">M44*L44</f>
        <v>2269.7136000000005</v>
      </c>
      <c r="O44" s="11">
        <f t="shared" ref="O44:O48" si="35">N44+J44</f>
        <v>6994.1718000000019</v>
      </c>
      <c r="P44" s="54"/>
      <c r="Q44" s="39"/>
      <c r="R44" s="39"/>
      <c r="U44" s="41"/>
    </row>
    <row r="45" spans="1:21" s="40" customFormat="1">
      <c r="A45" s="33">
        <f>IF(H45&lt;&gt;"",1+MAX($A$5:A44),"")</f>
        <v>19</v>
      </c>
      <c r="B45" s="108"/>
      <c r="C45" s="69"/>
      <c r="D45" s="27" t="s">
        <v>35</v>
      </c>
      <c r="E45" s="35">
        <f>4*18</f>
        <v>72</v>
      </c>
      <c r="F45" s="36">
        <v>0.1</v>
      </c>
      <c r="G45" s="37">
        <f>(1+F45)*E45</f>
        <v>79.2</v>
      </c>
      <c r="H45" s="38" t="s">
        <v>3</v>
      </c>
      <c r="I45" s="19">
        <v>0.47250000000000003</v>
      </c>
      <c r="J45" s="19">
        <f t="shared" si="31"/>
        <v>37.422000000000004</v>
      </c>
      <c r="K45" s="31">
        <v>5.6700000000000006E-3</v>
      </c>
      <c r="L45" s="19">
        <f t="shared" si="32"/>
        <v>46</v>
      </c>
      <c r="M45" s="32">
        <f t="shared" si="33"/>
        <v>0.44906400000000007</v>
      </c>
      <c r="N45" s="11">
        <f t="shared" si="34"/>
        <v>20.656944000000003</v>
      </c>
      <c r="O45" s="11">
        <f t="shared" si="35"/>
        <v>58.078944000000007</v>
      </c>
      <c r="P45" s="54"/>
      <c r="Q45" s="39"/>
      <c r="R45" s="39"/>
      <c r="U45" s="41"/>
    </row>
    <row r="46" spans="1:21" s="40" customFormat="1">
      <c r="A46" s="33">
        <f>IF(H46&lt;&gt;"",1+MAX($A$5:A45),"")</f>
        <v>20</v>
      </c>
      <c r="B46" s="108"/>
      <c r="C46" s="69"/>
      <c r="D46" s="27" t="s">
        <v>64</v>
      </c>
      <c r="E46" s="35">
        <f>2*18</f>
        <v>36</v>
      </c>
      <c r="F46" s="36">
        <v>0.1</v>
      </c>
      <c r="G46" s="37">
        <f>(1+F46)*E46</f>
        <v>39.6</v>
      </c>
      <c r="H46" s="38" t="s">
        <v>3</v>
      </c>
      <c r="I46" s="19">
        <v>2.919</v>
      </c>
      <c r="J46" s="19">
        <f t="shared" si="31"/>
        <v>115.59240000000001</v>
      </c>
      <c r="K46" s="31">
        <v>3.15E-2</v>
      </c>
      <c r="L46" s="19">
        <f t="shared" si="32"/>
        <v>46</v>
      </c>
      <c r="M46" s="32">
        <f t="shared" si="33"/>
        <v>1.2474000000000001</v>
      </c>
      <c r="N46" s="11">
        <f t="shared" si="34"/>
        <v>57.380400000000002</v>
      </c>
      <c r="O46" s="11">
        <f t="shared" si="35"/>
        <v>172.97280000000001</v>
      </c>
      <c r="P46" s="54"/>
      <c r="Q46" s="39"/>
      <c r="R46" s="39"/>
      <c r="U46" s="41"/>
    </row>
    <row r="47" spans="1:21" s="40" customFormat="1">
      <c r="A47" s="33">
        <f>IF(H47&lt;&gt;"",1+MAX($A$5:A46),"")</f>
        <v>21</v>
      </c>
      <c r="B47" s="108"/>
      <c r="C47" s="69"/>
      <c r="D47" s="27" t="s">
        <v>65</v>
      </c>
      <c r="E47" s="35">
        <f>2*18</f>
        <v>36</v>
      </c>
      <c r="F47" s="36">
        <v>0.1</v>
      </c>
      <c r="G47" s="37">
        <f>(1+F47)*E47</f>
        <v>39.6</v>
      </c>
      <c r="H47" s="38" t="s">
        <v>3</v>
      </c>
      <c r="I47" s="19">
        <v>3.3600000000000003</v>
      </c>
      <c r="J47" s="19">
        <f t="shared" si="31"/>
        <v>133.05600000000001</v>
      </c>
      <c r="K47" s="31">
        <v>3.15E-2</v>
      </c>
      <c r="L47" s="19">
        <f t="shared" si="32"/>
        <v>46</v>
      </c>
      <c r="M47" s="32">
        <f t="shared" si="33"/>
        <v>1.2474000000000001</v>
      </c>
      <c r="N47" s="11">
        <f t="shared" si="34"/>
        <v>57.380400000000002</v>
      </c>
      <c r="O47" s="11">
        <f t="shared" si="35"/>
        <v>190.43640000000002</v>
      </c>
      <c r="P47" s="54"/>
      <c r="Q47" s="39"/>
      <c r="R47" s="39"/>
      <c r="U47" s="41"/>
    </row>
    <row r="48" spans="1:21" s="40" customFormat="1">
      <c r="A48" s="33">
        <f>IF(H48&lt;&gt;"",1+MAX($A$5:A47),"")</f>
        <v>22</v>
      </c>
      <c r="B48" s="108"/>
      <c r="C48" s="69"/>
      <c r="D48" s="27" t="s">
        <v>66</v>
      </c>
      <c r="E48" s="35">
        <f>6*18</f>
        <v>108</v>
      </c>
      <c r="F48" s="36">
        <v>0.1</v>
      </c>
      <c r="G48" s="37">
        <f>(1+F48)*E48</f>
        <v>118.80000000000001</v>
      </c>
      <c r="H48" s="38" t="s">
        <v>3</v>
      </c>
      <c r="I48" s="19">
        <v>3.8640000000000003</v>
      </c>
      <c r="J48" s="19">
        <f t="shared" si="31"/>
        <v>459.04320000000007</v>
      </c>
      <c r="K48" s="31">
        <v>3.15E-2</v>
      </c>
      <c r="L48" s="19">
        <f t="shared" si="32"/>
        <v>46</v>
      </c>
      <c r="M48" s="32">
        <f t="shared" si="33"/>
        <v>3.7422000000000004</v>
      </c>
      <c r="N48" s="11">
        <f t="shared" si="34"/>
        <v>172.14120000000003</v>
      </c>
      <c r="O48" s="11">
        <f t="shared" si="35"/>
        <v>631.1844000000001</v>
      </c>
      <c r="P48" s="54"/>
      <c r="Q48" s="39"/>
      <c r="R48" s="39"/>
      <c r="U48" s="41"/>
    </row>
    <row r="49" spans="1:21" s="40" customFormat="1">
      <c r="A49" s="33" t="str">
        <f>IF(H49&lt;&gt;"",1+MAX($A$5:A48),"")</f>
        <v/>
      </c>
      <c r="B49" s="108"/>
      <c r="C49" s="69"/>
      <c r="D49" s="27"/>
      <c r="E49" s="35"/>
      <c r="F49" s="36"/>
      <c r="G49" s="37"/>
      <c r="H49" s="38"/>
      <c r="I49" s="19"/>
      <c r="J49" s="19"/>
      <c r="K49" s="31"/>
      <c r="L49" s="19"/>
      <c r="M49" s="32"/>
      <c r="N49" s="11"/>
      <c r="O49" s="11"/>
      <c r="P49" s="54"/>
      <c r="Q49" s="39"/>
      <c r="R49" s="39"/>
      <c r="U49" s="41"/>
    </row>
    <row r="50" spans="1:21" s="40" customFormat="1">
      <c r="A50" s="33" t="str">
        <f>IF(H50&lt;&gt;"",1+MAX($A$5:A49),"")</f>
        <v/>
      </c>
      <c r="B50" s="108"/>
      <c r="C50" s="69"/>
      <c r="D50" s="94" t="s">
        <v>69</v>
      </c>
      <c r="E50" s="35"/>
      <c r="F50" s="36"/>
      <c r="G50" s="37"/>
      <c r="H50" s="38"/>
      <c r="I50" s="19"/>
      <c r="J50" s="19"/>
      <c r="K50" s="31"/>
      <c r="L50" s="19"/>
      <c r="M50" s="32"/>
      <c r="N50" s="11"/>
      <c r="O50" s="11"/>
      <c r="P50" s="54"/>
      <c r="Q50" s="39"/>
      <c r="R50" s="39"/>
      <c r="U50" s="41"/>
    </row>
    <row r="51" spans="1:21" s="40" customFormat="1">
      <c r="A51" s="33">
        <f>IF(H51&lt;&gt;"",1+MAX($A$5:A50),"")</f>
        <v>23</v>
      </c>
      <c r="B51" s="108"/>
      <c r="C51" s="69"/>
      <c r="D51" s="27" t="s">
        <v>62</v>
      </c>
      <c r="E51" s="35">
        <f>2*166.75</f>
        <v>333.5</v>
      </c>
      <c r="F51" s="36">
        <v>0.1</v>
      </c>
      <c r="G51" s="37">
        <f>(1+F51)*E51</f>
        <v>366.85</v>
      </c>
      <c r="H51" s="38" t="s">
        <v>30</v>
      </c>
      <c r="I51" s="19">
        <v>0.99119999999999997</v>
      </c>
      <c r="J51" s="19">
        <f t="shared" ref="J51" si="36">I51*G51</f>
        <v>363.62172000000004</v>
      </c>
      <c r="K51" s="31">
        <v>2.5620000000000004E-2</v>
      </c>
      <c r="L51" s="19">
        <f>$O$14</f>
        <v>46</v>
      </c>
      <c r="M51" s="32">
        <f t="shared" ref="M51" si="37">K51*G51</f>
        <v>9.3986970000000021</v>
      </c>
      <c r="N51" s="11">
        <f t="shared" ref="N51" si="38">M51*L51</f>
        <v>432.3400620000001</v>
      </c>
      <c r="O51" s="11">
        <f t="shared" ref="O51" si="39">N51+J51</f>
        <v>795.96178200000008</v>
      </c>
      <c r="P51" s="54"/>
      <c r="Q51" s="39"/>
      <c r="R51" s="39"/>
      <c r="U51" s="41"/>
    </row>
    <row r="52" spans="1:21" s="40" customFormat="1">
      <c r="A52" s="33" t="str">
        <f>IF(H52&lt;&gt;"",1+MAX($A$5:A51),"")</f>
        <v/>
      </c>
      <c r="B52" s="108"/>
      <c r="C52" s="69"/>
      <c r="D52" s="95" t="s">
        <v>34</v>
      </c>
      <c r="E52" s="35">
        <f>ROUNDUP(G51/32,0)</f>
        <v>12</v>
      </c>
      <c r="F52" s="36"/>
      <c r="G52" s="37"/>
      <c r="H52" s="38"/>
      <c r="I52" s="19"/>
      <c r="J52" s="19"/>
      <c r="K52" s="31"/>
      <c r="L52" s="19"/>
      <c r="M52" s="32"/>
      <c r="N52" s="11"/>
      <c r="O52" s="11"/>
      <c r="P52" s="54"/>
      <c r="Q52" s="39"/>
      <c r="R52" s="39"/>
      <c r="U52" s="41"/>
    </row>
    <row r="53" spans="1:21" s="40" customFormat="1">
      <c r="A53" s="33" t="str">
        <f>IF(H53&lt;&gt;"",1+MAX($A$5:A52),"")</f>
        <v/>
      </c>
      <c r="B53" s="108"/>
      <c r="C53" s="69"/>
      <c r="D53" s="95" t="s">
        <v>31</v>
      </c>
      <c r="E53" s="35">
        <f>E52*48</f>
        <v>576</v>
      </c>
      <c r="F53" s="36"/>
      <c r="G53" s="37"/>
      <c r="H53" s="38"/>
      <c r="I53" s="19"/>
      <c r="J53" s="19"/>
      <c r="K53" s="31"/>
      <c r="L53" s="19"/>
      <c r="M53" s="32"/>
      <c r="N53" s="11"/>
      <c r="O53" s="11"/>
      <c r="P53" s="54"/>
      <c r="Q53" s="39"/>
      <c r="R53" s="39"/>
      <c r="U53" s="41"/>
    </row>
    <row r="54" spans="1:21" s="40" customFormat="1">
      <c r="A54" s="33" t="str">
        <f>IF(H54&lt;&gt;"",1+MAX($A$5:A53),"")</f>
        <v/>
      </c>
      <c r="B54" s="108"/>
      <c r="C54" s="69"/>
      <c r="D54" s="95" t="s">
        <v>32</v>
      </c>
      <c r="E54" s="35">
        <f>E52</f>
        <v>12</v>
      </c>
      <c r="F54" s="36"/>
      <c r="G54" s="37"/>
      <c r="H54" s="38"/>
      <c r="I54" s="19"/>
      <c r="J54" s="19"/>
      <c r="K54" s="31"/>
      <c r="L54" s="19"/>
      <c r="M54" s="32"/>
      <c r="N54" s="11"/>
      <c r="O54" s="11"/>
      <c r="P54" s="54"/>
      <c r="Q54" s="39"/>
      <c r="R54" s="39"/>
      <c r="U54" s="41"/>
    </row>
    <row r="55" spans="1:21" s="40" customFormat="1">
      <c r="A55" s="33" t="str">
        <f>IF(H55&lt;&gt;"",1+MAX($A$5:A54),"")</f>
        <v/>
      </c>
      <c r="B55" s="108"/>
      <c r="C55" s="69"/>
      <c r="D55" s="95" t="s">
        <v>33</v>
      </c>
      <c r="E55" s="35">
        <f>E52*14</f>
        <v>168</v>
      </c>
      <c r="F55" s="36"/>
      <c r="G55" s="37"/>
      <c r="H55" s="38"/>
      <c r="I55" s="19"/>
      <c r="J55" s="19"/>
      <c r="K55" s="31"/>
      <c r="L55" s="19"/>
      <c r="M55" s="32"/>
      <c r="N55" s="11"/>
      <c r="O55" s="11"/>
      <c r="P55" s="54"/>
      <c r="Q55" s="39"/>
      <c r="R55" s="39"/>
      <c r="U55" s="41"/>
    </row>
    <row r="56" spans="1:21" s="40" customFormat="1">
      <c r="A56" s="33">
        <f>IF(H56&lt;&gt;"",1+MAX($A$5:A55),"")</f>
        <v>24</v>
      </c>
      <c r="B56" s="108"/>
      <c r="C56" s="69"/>
      <c r="D56" s="27" t="s">
        <v>70</v>
      </c>
      <c r="E56" s="35">
        <v>215</v>
      </c>
      <c r="F56" s="36">
        <v>0.1</v>
      </c>
      <c r="G56" s="37">
        <f>(1+F56)*E56</f>
        <v>236.50000000000003</v>
      </c>
      <c r="H56" s="38" t="s">
        <v>30</v>
      </c>
      <c r="I56" s="19">
        <v>4.0215000000000005</v>
      </c>
      <c r="J56" s="19">
        <f t="shared" ref="J56:J57" si="40">I56*G56</f>
        <v>951.08475000000021</v>
      </c>
      <c r="K56" s="31">
        <v>4.2000000000000003E-2</v>
      </c>
      <c r="L56" s="19">
        <f t="shared" ref="L56:L57" si="41">$O$14</f>
        <v>46</v>
      </c>
      <c r="M56" s="32">
        <f t="shared" ref="M56:M57" si="42">K56*G56</f>
        <v>9.9330000000000016</v>
      </c>
      <c r="N56" s="11">
        <f t="shared" ref="N56:N57" si="43">M56*L56</f>
        <v>456.91800000000006</v>
      </c>
      <c r="O56" s="11">
        <f t="shared" ref="O56:O57" si="44">N56+J56</f>
        <v>1408.0027500000003</v>
      </c>
      <c r="P56" s="54"/>
      <c r="Q56" s="39"/>
      <c r="R56" s="39"/>
      <c r="U56" s="41"/>
    </row>
    <row r="57" spans="1:21" s="40" customFormat="1">
      <c r="A57" s="33">
        <f>IF(H57&lt;&gt;"",1+MAX($A$5:A56),"")</f>
        <v>25</v>
      </c>
      <c r="B57" s="108"/>
      <c r="C57" s="69"/>
      <c r="D57" s="27" t="s">
        <v>35</v>
      </c>
      <c r="E57" s="35">
        <f>4*14.5</f>
        <v>58</v>
      </c>
      <c r="F57" s="36">
        <v>0.1</v>
      </c>
      <c r="G57" s="37">
        <f>(1+F57)*E57</f>
        <v>63.800000000000004</v>
      </c>
      <c r="H57" s="38" t="s">
        <v>3</v>
      </c>
      <c r="I57" s="19">
        <v>0.47250000000000003</v>
      </c>
      <c r="J57" s="19">
        <f t="shared" si="40"/>
        <v>30.145500000000006</v>
      </c>
      <c r="K57" s="31">
        <v>5.6700000000000006E-3</v>
      </c>
      <c r="L57" s="19">
        <f t="shared" si="41"/>
        <v>46</v>
      </c>
      <c r="M57" s="32">
        <f t="shared" si="42"/>
        <v>0.36174600000000007</v>
      </c>
      <c r="N57" s="11">
        <f t="shared" si="43"/>
        <v>16.640316000000002</v>
      </c>
      <c r="O57" s="11">
        <f t="shared" si="44"/>
        <v>46.785816000000011</v>
      </c>
      <c r="P57" s="54"/>
      <c r="Q57" s="39"/>
      <c r="R57" s="39"/>
      <c r="U57" s="41"/>
    </row>
    <row r="58" spans="1:21" s="40" customFormat="1">
      <c r="A58" s="33" t="str">
        <f>IF(H58&lt;&gt;"",1+MAX($A$5:A57),"")</f>
        <v/>
      </c>
      <c r="B58" s="108"/>
      <c r="C58" s="69"/>
      <c r="D58" s="27"/>
      <c r="E58" s="35"/>
      <c r="F58" s="36"/>
      <c r="G58" s="37"/>
      <c r="H58" s="38"/>
      <c r="I58" s="19"/>
      <c r="J58" s="19"/>
      <c r="K58" s="31"/>
      <c r="L58" s="19"/>
      <c r="M58" s="32"/>
      <c r="N58" s="11"/>
      <c r="O58" s="11"/>
      <c r="P58" s="54"/>
      <c r="Q58" s="39"/>
      <c r="R58" s="39"/>
      <c r="U58" s="41"/>
    </row>
    <row r="59" spans="1:21" s="40" customFormat="1">
      <c r="A59" s="33" t="str">
        <f>IF(H59&lt;&gt;"",1+MAX($A$5:A58),"")</f>
        <v/>
      </c>
      <c r="B59" s="108"/>
      <c r="C59" s="69"/>
      <c r="D59" s="94" t="s">
        <v>71</v>
      </c>
      <c r="E59" s="35"/>
      <c r="F59" s="36"/>
      <c r="G59" s="37"/>
      <c r="H59" s="38"/>
      <c r="I59" s="19"/>
      <c r="J59" s="19"/>
      <c r="K59" s="31"/>
      <c r="L59" s="19"/>
      <c r="M59" s="32"/>
      <c r="N59" s="11"/>
      <c r="O59" s="11"/>
      <c r="P59" s="54"/>
      <c r="Q59" s="39"/>
      <c r="R59" s="39"/>
      <c r="U59" s="41"/>
    </row>
    <row r="60" spans="1:21" s="40" customFormat="1">
      <c r="A60" s="33">
        <f>IF(H60&lt;&gt;"",1+MAX($A$5:A59),"")</f>
        <v>26</v>
      </c>
      <c r="B60" s="108"/>
      <c r="C60" s="69"/>
      <c r="D60" s="27" t="s">
        <v>62</v>
      </c>
      <c r="E60" s="35">
        <v>1863.97</v>
      </c>
      <c r="F60" s="36">
        <v>0.1</v>
      </c>
      <c r="G60" s="37">
        <f>(1+F60)*E60</f>
        <v>2050.3670000000002</v>
      </c>
      <c r="H60" s="38" t="s">
        <v>30</v>
      </c>
      <c r="I60" s="19">
        <v>0.99119999999999997</v>
      </c>
      <c r="J60" s="19">
        <f t="shared" ref="J60" si="45">I60*G60</f>
        <v>2032.3237704000001</v>
      </c>
      <c r="K60" s="31">
        <v>2.5620000000000004E-2</v>
      </c>
      <c r="L60" s="19">
        <f>$O$14</f>
        <v>46</v>
      </c>
      <c r="M60" s="32">
        <f t="shared" ref="M60" si="46">K60*G60</f>
        <v>52.530402540000011</v>
      </c>
      <c r="N60" s="11">
        <f t="shared" ref="N60" si="47">M60*L60</f>
        <v>2416.3985168400004</v>
      </c>
      <c r="O60" s="11">
        <f t="shared" ref="O60" si="48">N60+J60</f>
        <v>4448.7222872400007</v>
      </c>
      <c r="P60" s="54"/>
      <c r="Q60" s="39"/>
      <c r="R60" s="39"/>
      <c r="U60" s="41"/>
    </row>
    <row r="61" spans="1:21" s="40" customFormat="1">
      <c r="A61" s="33" t="str">
        <f>IF(H61&lt;&gt;"",1+MAX($A$5:A60),"")</f>
        <v/>
      </c>
      <c r="B61" s="108"/>
      <c r="C61" s="69"/>
      <c r="D61" s="95" t="s">
        <v>34</v>
      </c>
      <c r="E61" s="35">
        <f>ROUNDUP(G60/32,0)</f>
        <v>65</v>
      </c>
      <c r="F61" s="36"/>
      <c r="G61" s="37"/>
      <c r="H61" s="38"/>
      <c r="I61" s="19"/>
      <c r="J61" s="19"/>
      <c r="K61" s="31"/>
      <c r="L61" s="19"/>
      <c r="M61" s="32"/>
      <c r="N61" s="11"/>
      <c r="O61" s="11"/>
      <c r="P61" s="54"/>
      <c r="Q61" s="39"/>
      <c r="R61" s="39"/>
      <c r="U61" s="41"/>
    </row>
    <row r="62" spans="1:21" s="40" customFormat="1">
      <c r="A62" s="33" t="str">
        <f>IF(H62&lt;&gt;"",1+MAX($A$5:A61),"")</f>
        <v/>
      </c>
      <c r="B62" s="108"/>
      <c r="C62" s="69"/>
      <c r="D62" s="95" t="s">
        <v>31</v>
      </c>
      <c r="E62" s="35">
        <f>E61*48</f>
        <v>3120</v>
      </c>
      <c r="F62" s="36"/>
      <c r="G62" s="37"/>
      <c r="H62" s="38"/>
      <c r="I62" s="19"/>
      <c r="J62" s="19"/>
      <c r="K62" s="31"/>
      <c r="L62" s="19"/>
      <c r="M62" s="32"/>
      <c r="N62" s="11"/>
      <c r="O62" s="11"/>
      <c r="P62" s="54"/>
      <c r="Q62" s="39"/>
      <c r="R62" s="39"/>
      <c r="U62" s="41"/>
    </row>
    <row r="63" spans="1:21" s="40" customFormat="1">
      <c r="A63" s="33" t="str">
        <f>IF(H63&lt;&gt;"",1+MAX($A$5:A62),"")</f>
        <v/>
      </c>
      <c r="B63" s="108"/>
      <c r="C63" s="69"/>
      <c r="D63" s="95" t="s">
        <v>32</v>
      </c>
      <c r="E63" s="35">
        <f>E61</f>
        <v>65</v>
      </c>
      <c r="F63" s="36"/>
      <c r="G63" s="37"/>
      <c r="H63" s="38"/>
      <c r="I63" s="19"/>
      <c r="J63" s="19"/>
      <c r="K63" s="31"/>
      <c r="L63" s="19"/>
      <c r="M63" s="32"/>
      <c r="N63" s="11"/>
      <c r="O63" s="11"/>
      <c r="P63" s="54"/>
      <c r="Q63" s="39"/>
      <c r="R63" s="39"/>
      <c r="U63" s="41"/>
    </row>
    <row r="64" spans="1:21" s="40" customFormat="1">
      <c r="A64" s="33" t="str">
        <f>IF(H64&lt;&gt;"",1+MAX($A$5:A63),"")</f>
        <v/>
      </c>
      <c r="B64" s="108"/>
      <c r="C64" s="69"/>
      <c r="D64" s="95" t="s">
        <v>33</v>
      </c>
      <c r="E64" s="35">
        <f>E61*14</f>
        <v>910</v>
      </c>
      <c r="F64" s="36"/>
      <c r="G64" s="37"/>
      <c r="H64" s="38"/>
      <c r="I64" s="19"/>
      <c r="J64" s="19"/>
      <c r="K64" s="31"/>
      <c r="L64" s="19"/>
      <c r="M64" s="32"/>
      <c r="N64" s="11"/>
      <c r="O64" s="11"/>
      <c r="P64" s="54"/>
      <c r="Q64" s="39"/>
      <c r="R64" s="39"/>
      <c r="U64" s="41"/>
    </row>
    <row r="65" spans="1:21" s="40" customFormat="1">
      <c r="A65" s="33">
        <f>IF(H65&lt;&gt;"",1+MAX($A$5:A64),"")</f>
        <v>27</v>
      </c>
      <c r="B65" s="108"/>
      <c r="C65" s="69"/>
      <c r="D65" s="27" t="s">
        <v>72</v>
      </c>
      <c r="E65" s="35">
        <v>1050</v>
      </c>
      <c r="F65" s="36">
        <v>0.1</v>
      </c>
      <c r="G65" s="37">
        <f>(1+F65)*E65</f>
        <v>1155</v>
      </c>
      <c r="H65" s="38" t="s">
        <v>30</v>
      </c>
      <c r="I65" s="19">
        <v>4.0215000000000005</v>
      </c>
      <c r="J65" s="19">
        <f t="shared" ref="J65:J66" si="49">I65*G65</f>
        <v>4644.8325000000004</v>
      </c>
      <c r="K65" s="31">
        <v>4.2000000000000003E-2</v>
      </c>
      <c r="L65" s="19">
        <f t="shared" ref="L65:L66" si="50">$O$14</f>
        <v>46</v>
      </c>
      <c r="M65" s="32">
        <f t="shared" ref="M65:M66" si="51">K65*G65</f>
        <v>48.510000000000005</v>
      </c>
      <c r="N65" s="11">
        <f t="shared" ref="N65:N66" si="52">M65*L65</f>
        <v>2231.46</v>
      </c>
      <c r="O65" s="11">
        <f t="shared" ref="O65:O66" si="53">N65+J65</f>
        <v>6876.2925000000005</v>
      </c>
      <c r="P65" s="54"/>
      <c r="Q65" s="39"/>
      <c r="R65" s="39"/>
      <c r="U65" s="41"/>
    </row>
    <row r="66" spans="1:21" s="40" customFormat="1">
      <c r="A66" s="33">
        <f>IF(H66&lt;&gt;"",1+MAX($A$5:A65),"")</f>
        <v>28</v>
      </c>
      <c r="B66" s="108"/>
      <c r="C66" s="69"/>
      <c r="D66" s="27" t="s">
        <v>35</v>
      </c>
      <c r="E66" s="35">
        <f>4*70.78</f>
        <v>283.12</v>
      </c>
      <c r="F66" s="36">
        <v>0.1</v>
      </c>
      <c r="G66" s="37">
        <f>(1+F66)*E66</f>
        <v>311.43200000000002</v>
      </c>
      <c r="H66" s="38" t="s">
        <v>3</v>
      </c>
      <c r="I66" s="19">
        <v>0.47250000000000003</v>
      </c>
      <c r="J66" s="19">
        <f t="shared" si="49"/>
        <v>147.15162000000001</v>
      </c>
      <c r="K66" s="31">
        <v>5.6700000000000006E-3</v>
      </c>
      <c r="L66" s="19">
        <f t="shared" si="50"/>
        <v>46</v>
      </c>
      <c r="M66" s="32">
        <f t="shared" si="51"/>
        <v>1.7658194400000002</v>
      </c>
      <c r="N66" s="11">
        <f t="shared" si="52"/>
        <v>81.227694240000005</v>
      </c>
      <c r="O66" s="11">
        <f t="shared" si="53"/>
        <v>228.37931424000001</v>
      </c>
      <c r="P66" s="54"/>
      <c r="Q66" s="39"/>
      <c r="R66" s="39"/>
      <c r="U66" s="41"/>
    </row>
    <row r="67" spans="1:21" s="40" customFormat="1">
      <c r="A67" s="33" t="str">
        <f>IF(H67&lt;&gt;"",1+MAX($A$5:A66),"")</f>
        <v/>
      </c>
      <c r="B67" s="108"/>
      <c r="C67" s="69"/>
      <c r="D67" s="27"/>
      <c r="E67" s="35"/>
      <c r="F67" s="36"/>
      <c r="G67" s="37"/>
      <c r="H67" s="38"/>
      <c r="I67" s="19"/>
      <c r="J67" s="19"/>
      <c r="K67" s="31"/>
      <c r="L67" s="19"/>
      <c r="M67" s="32"/>
      <c r="N67" s="11"/>
      <c r="O67" s="11"/>
      <c r="P67" s="54"/>
      <c r="Q67" s="39"/>
      <c r="R67" s="39"/>
      <c r="U67" s="41"/>
    </row>
    <row r="68" spans="1:21" s="40" customFormat="1">
      <c r="A68" s="33" t="str">
        <f>IF(H68&lt;&gt;"",1+MAX($A$5:A67),"")</f>
        <v/>
      </c>
      <c r="B68" s="108"/>
      <c r="C68" s="69"/>
      <c r="D68" s="94" t="s">
        <v>73</v>
      </c>
      <c r="E68" s="35"/>
      <c r="F68" s="36"/>
      <c r="G68" s="37"/>
      <c r="H68" s="38"/>
      <c r="I68" s="19"/>
      <c r="J68" s="19"/>
      <c r="K68" s="31"/>
      <c r="L68" s="19"/>
      <c r="M68" s="32"/>
      <c r="N68" s="11"/>
      <c r="O68" s="11"/>
      <c r="P68" s="54"/>
      <c r="Q68" s="39"/>
      <c r="R68" s="39"/>
      <c r="U68" s="41"/>
    </row>
    <row r="69" spans="1:21" s="40" customFormat="1">
      <c r="A69" s="33">
        <f>IF(H69&lt;&gt;"",1+MAX($A$5:A68),"")</f>
        <v>29</v>
      </c>
      <c r="B69" s="108"/>
      <c r="C69" s="69"/>
      <c r="D69" s="27" t="s">
        <v>74</v>
      </c>
      <c r="E69" s="35">
        <f>2*69</f>
        <v>138</v>
      </c>
      <c r="F69" s="36">
        <v>0.1</v>
      </c>
      <c r="G69" s="37">
        <f>(1+F69)*E69</f>
        <v>151.80000000000001</v>
      </c>
      <c r="H69" s="38" t="s">
        <v>30</v>
      </c>
      <c r="I69" s="19">
        <v>1.1760000000000002</v>
      </c>
      <c r="J69" s="19">
        <f t="shared" ref="J69" si="54">I69*G69</f>
        <v>178.51680000000005</v>
      </c>
      <c r="K69" s="31">
        <v>2.52E-2</v>
      </c>
      <c r="L69" s="19">
        <f>$O$14</f>
        <v>46</v>
      </c>
      <c r="M69" s="32">
        <f t="shared" ref="M69" si="55">K69*G69</f>
        <v>3.8253600000000003</v>
      </c>
      <c r="N69" s="11">
        <f t="shared" ref="N69" si="56">M69*L69</f>
        <v>175.96656000000002</v>
      </c>
      <c r="O69" s="11">
        <f t="shared" ref="O69" si="57">N69+J69</f>
        <v>354.48336000000006</v>
      </c>
      <c r="P69" s="54"/>
      <c r="Q69" s="39"/>
      <c r="R69" s="39"/>
      <c r="U69" s="41"/>
    </row>
    <row r="70" spans="1:21" s="40" customFormat="1">
      <c r="A70" s="33" t="str">
        <f>IF(H70&lt;&gt;"",1+MAX($A$5:A69),"")</f>
        <v/>
      </c>
      <c r="B70" s="108"/>
      <c r="C70" s="69"/>
      <c r="D70" s="95" t="s">
        <v>34</v>
      </c>
      <c r="E70" s="35">
        <f>ROUNDUP(G69/32,0)</f>
        <v>5</v>
      </c>
      <c r="F70" s="36"/>
      <c r="G70" s="37"/>
      <c r="H70" s="38"/>
      <c r="I70" s="19"/>
      <c r="J70" s="19"/>
      <c r="K70" s="31"/>
      <c r="L70" s="19"/>
      <c r="M70" s="32"/>
      <c r="N70" s="11"/>
      <c r="O70" s="11"/>
      <c r="P70" s="54"/>
      <c r="Q70" s="39"/>
      <c r="R70" s="39"/>
      <c r="U70" s="41"/>
    </row>
    <row r="71" spans="1:21" s="40" customFormat="1">
      <c r="A71" s="33" t="str">
        <f>IF(H71&lt;&gt;"",1+MAX($A$5:A70),"")</f>
        <v/>
      </c>
      <c r="B71" s="108"/>
      <c r="C71" s="69"/>
      <c r="D71" s="95" t="s">
        <v>31</v>
      </c>
      <c r="E71" s="35">
        <f>E70*48</f>
        <v>240</v>
      </c>
      <c r="F71" s="36"/>
      <c r="G71" s="37"/>
      <c r="H71" s="38"/>
      <c r="I71" s="19"/>
      <c r="J71" s="19"/>
      <c r="K71" s="31"/>
      <c r="L71" s="19"/>
      <c r="M71" s="32"/>
      <c r="N71" s="11"/>
      <c r="O71" s="11"/>
      <c r="P71" s="54"/>
      <c r="Q71" s="39"/>
      <c r="R71" s="39"/>
      <c r="U71" s="41"/>
    </row>
    <row r="72" spans="1:21" s="40" customFormat="1">
      <c r="A72" s="33" t="str">
        <f>IF(H72&lt;&gt;"",1+MAX($A$5:A71),"")</f>
        <v/>
      </c>
      <c r="B72" s="108"/>
      <c r="C72" s="69"/>
      <c r="D72" s="95" t="s">
        <v>32</v>
      </c>
      <c r="E72" s="35">
        <f>E70</f>
        <v>5</v>
      </c>
      <c r="F72" s="36"/>
      <c r="G72" s="37"/>
      <c r="H72" s="38"/>
      <c r="I72" s="19"/>
      <c r="J72" s="19"/>
      <c r="K72" s="31"/>
      <c r="L72" s="19"/>
      <c r="M72" s="32"/>
      <c r="N72" s="11"/>
      <c r="O72" s="11"/>
      <c r="P72" s="54"/>
      <c r="Q72" s="39"/>
      <c r="R72" s="39"/>
      <c r="U72" s="41"/>
    </row>
    <row r="73" spans="1:21" s="40" customFormat="1">
      <c r="A73" s="33" t="str">
        <f>IF(H73&lt;&gt;"",1+MAX($A$5:A72),"")</f>
        <v/>
      </c>
      <c r="B73" s="108"/>
      <c r="C73" s="69"/>
      <c r="D73" s="95" t="s">
        <v>33</v>
      </c>
      <c r="E73" s="35">
        <f>E70*14</f>
        <v>70</v>
      </c>
      <c r="F73" s="36"/>
      <c r="G73" s="37"/>
      <c r="H73" s="38"/>
      <c r="I73" s="19"/>
      <c r="J73" s="19"/>
      <c r="K73" s="31"/>
      <c r="L73" s="19"/>
      <c r="M73" s="32"/>
      <c r="N73" s="11"/>
      <c r="O73" s="11"/>
      <c r="P73" s="54"/>
      <c r="Q73" s="39"/>
      <c r="R73" s="39"/>
      <c r="U73" s="41"/>
    </row>
    <row r="74" spans="1:21" s="40" customFormat="1">
      <c r="A74" s="33">
        <f>IF(H74&lt;&gt;"",1+MAX($A$5:A73),"")</f>
        <v>30</v>
      </c>
      <c r="B74" s="108"/>
      <c r="C74" s="69"/>
      <c r="D74" s="27" t="s">
        <v>75</v>
      </c>
      <c r="E74" s="35">
        <v>69</v>
      </c>
      <c r="F74" s="36">
        <v>0.1</v>
      </c>
      <c r="G74" s="37">
        <f>(1+F74)*E74</f>
        <v>75.900000000000006</v>
      </c>
      <c r="H74" s="38" t="s">
        <v>30</v>
      </c>
      <c r="I74" s="19">
        <v>6.2790000000000008</v>
      </c>
      <c r="J74" s="19">
        <f t="shared" ref="J74:J76" si="58">I74*G74</f>
        <v>476.57610000000011</v>
      </c>
      <c r="K74" s="31">
        <v>6.3E-2</v>
      </c>
      <c r="L74" s="19">
        <f t="shared" ref="L74:L76" si="59">$O$14</f>
        <v>46</v>
      </c>
      <c r="M74" s="32">
        <f t="shared" ref="M74:M76" si="60">K74*G74</f>
        <v>4.7817000000000007</v>
      </c>
      <c r="N74" s="11">
        <f t="shared" ref="N74:N76" si="61">M74*L74</f>
        <v>219.95820000000003</v>
      </c>
      <c r="O74" s="11">
        <f t="shared" ref="O74:O76" si="62">N74+J74</f>
        <v>696.53430000000014</v>
      </c>
      <c r="P74" s="54"/>
      <c r="Q74" s="39"/>
      <c r="R74" s="39"/>
      <c r="U74" s="41"/>
    </row>
    <row r="75" spans="1:21" s="40" customFormat="1">
      <c r="A75" s="33">
        <f>IF(H75&lt;&gt;"",1+MAX($A$5:A74),"")</f>
        <v>31</v>
      </c>
      <c r="B75" s="108"/>
      <c r="C75" s="69"/>
      <c r="D75" s="27" t="s">
        <v>76</v>
      </c>
      <c r="E75" s="35">
        <v>69</v>
      </c>
      <c r="F75" s="36">
        <v>0.1</v>
      </c>
      <c r="G75" s="37">
        <f>(1+F75)*E75</f>
        <v>75.900000000000006</v>
      </c>
      <c r="H75" s="38" t="s">
        <v>30</v>
      </c>
      <c r="I75" s="19">
        <v>1.1760000000000002</v>
      </c>
      <c r="J75" s="19">
        <f t="shared" si="58"/>
        <v>89.258400000000023</v>
      </c>
      <c r="K75" s="31">
        <v>2.1000000000000001E-2</v>
      </c>
      <c r="L75" s="19">
        <f t="shared" si="59"/>
        <v>46</v>
      </c>
      <c r="M75" s="32">
        <f t="shared" si="60"/>
        <v>1.5939000000000003</v>
      </c>
      <c r="N75" s="11">
        <f t="shared" si="61"/>
        <v>73.319400000000016</v>
      </c>
      <c r="O75" s="11">
        <f t="shared" si="62"/>
        <v>162.57780000000002</v>
      </c>
      <c r="P75" s="54"/>
      <c r="Q75" s="39"/>
      <c r="R75" s="39"/>
      <c r="U75" s="41"/>
    </row>
    <row r="76" spans="1:21" s="40" customFormat="1">
      <c r="A76" s="33">
        <f>IF(H76&lt;&gt;"",1+MAX($A$5:A75),"")</f>
        <v>32</v>
      </c>
      <c r="B76" s="108"/>
      <c r="C76" s="69"/>
      <c r="D76" s="27" t="s">
        <v>35</v>
      </c>
      <c r="E76" s="35">
        <f>4*8.07</f>
        <v>32.28</v>
      </c>
      <c r="F76" s="36">
        <v>0.1</v>
      </c>
      <c r="G76" s="37">
        <f>(1+F76)*E76</f>
        <v>35.508000000000003</v>
      </c>
      <c r="H76" s="38" t="s">
        <v>3</v>
      </c>
      <c r="I76" s="19">
        <v>0.47250000000000003</v>
      </c>
      <c r="J76" s="19">
        <f t="shared" si="58"/>
        <v>16.777530000000002</v>
      </c>
      <c r="K76" s="31">
        <v>5.6700000000000006E-3</v>
      </c>
      <c r="L76" s="19">
        <f t="shared" si="59"/>
        <v>46</v>
      </c>
      <c r="M76" s="32">
        <f t="shared" si="60"/>
        <v>0.20133036000000004</v>
      </c>
      <c r="N76" s="11">
        <f t="shared" si="61"/>
        <v>9.2611965600000019</v>
      </c>
      <c r="O76" s="11">
        <f t="shared" si="62"/>
        <v>26.038726560000004</v>
      </c>
      <c r="P76" s="54"/>
      <c r="Q76" s="39"/>
      <c r="R76" s="39"/>
      <c r="U76" s="41"/>
    </row>
    <row r="77" spans="1:21" s="40" customFormat="1">
      <c r="A77" s="33" t="str">
        <f>IF(H77&lt;&gt;"",1+MAX($A$5:A76),"")</f>
        <v/>
      </c>
      <c r="B77" s="108"/>
      <c r="C77" s="69"/>
      <c r="D77" s="27"/>
      <c r="E77" s="35"/>
      <c r="F77" s="36"/>
      <c r="G77" s="37"/>
      <c r="H77" s="38"/>
      <c r="I77" s="19"/>
      <c r="J77" s="19"/>
      <c r="K77" s="31"/>
      <c r="L77" s="19"/>
      <c r="M77" s="32"/>
      <c r="N77" s="11"/>
      <c r="O77" s="11"/>
      <c r="P77" s="54"/>
      <c r="Q77" s="39"/>
      <c r="R77" s="39"/>
      <c r="U77" s="41"/>
    </row>
    <row r="78" spans="1:21" s="40" customFormat="1">
      <c r="A78" s="33" t="str">
        <f>IF(H78&lt;&gt;"",1+MAX($A$5:A77),"")</f>
        <v/>
      </c>
      <c r="B78" s="108"/>
      <c r="C78" s="69"/>
      <c r="D78" s="94" t="s">
        <v>77</v>
      </c>
      <c r="E78" s="35"/>
      <c r="F78" s="36"/>
      <c r="G78" s="37"/>
      <c r="H78" s="38"/>
      <c r="I78" s="19"/>
      <c r="J78" s="19"/>
      <c r="K78" s="31"/>
      <c r="L78" s="19"/>
      <c r="M78" s="32"/>
      <c r="N78" s="11"/>
      <c r="O78" s="11"/>
      <c r="P78" s="54"/>
      <c r="Q78" s="39"/>
      <c r="R78" s="39"/>
      <c r="U78" s="41"/>
    </row>
    <row r="79" spans="1:21" s="40" customFormat="1">
      <c r="A79" s="33">
        <f>IF(H79&lt;&gt;"",1+MAX($A$5:A78),"")</f>
        <v>33</v>
      </c>
      <c r="B79" s="108"/>
      <c r="C79" s="69"/>
      <c r="D79" s="27" t="s">
        <v>78</v>
      </c>
      <c r="E79" s="35">
        <v>78</v>
      </c>
      <c r="F79" s="36">
        <v>0.1</v>
      </c>
      <c r="G79" s="37">
        <f>(1+F79)*E79</f>
        <v>85.800000000000011</v>
      </c>
      <c r="H79" s="38" t="s">
        <v>30</v>
      </c>
      <c r="I79" s="19">
        <v>0.99119999999999997</v>
      </c>
      <c r="J79" s="19">
        <f t="shared" ref="J79" si="63">I79*G79</f>
        <v>85.044960000000003</v>
      </c>
      <c r="K79" s="31">
        <v>2.5620000000000004E-2</v>
      </c>
      <c r="L79" s="19">
        <f>$O$14</f>
        <v>46</v>
      </c>
      <c r="M79" s="32">
        <f t="shared" ref="M79" si="64">K79*G79</f>
        <v>2.1981960000000007</v>
      </c>
      <c r="N79" s="11">
        <f t="shared" ref="N79" si="65">M79*L79</f>
        <v>101.11701600000004</v>
      </c>
      <c r="O79" s="11">
        <f t="shared" ref="O79" si="66">N79+J79</f>
        <v>186.16197600000004</v>
      </c>
      <c r="P79" s="54"/>
      <c r="Q79" s="39"/>
      <c r="R79" s="39"/>
      <c r="U79" s="41"/>
    </row>
    <row r="80" spans="1:21" s="40" customFormat="1">
      <c r="A80" s="33" t="str">
        <f>IF(H80&lt;&gt;"",1+MAX($A$5:A79),"")</f>
        <v/>
      </c>
      <c r="B80" s="108"/>
      <c r="C80" s="69"/>
      <c r="D80" s="95" t="s">
        <v>34</v>
      </c>
      <c r="E80" s="35">
        <f>ROUNDUP(G79/32,0)</f>
        <v>3</v>
      </c>
      <c r="F80" s="36"/>
      <c r="G80" s="37"/>
      <c r="H80" s="38"/>
      <c r="I80" s="19"/>
      <c r="J80" s="19"/>
      <c r="K80" s="31"/>
      <c r="L80" s="19"/>
      <c r="M80" s="32"/>
      <c r="N80" s="11"/>
      <c r="O80" s="11"/>
      <c r="P80" s="54"/>
      <c r="Q80" s="39"/>
      <c r="R80" s="39"/>
      <c r="U80" s="41"/>
    </row>
    <row r="81" spans="1:21" s="40" customFormat="1">
      <c r="A81" s="33" t="str">
        <f>IF(H81&lt;&gt;"",1+MAX($A$5:A80),"")</f>
        <v/>
      </c>
      <c r="B81" s="108"/>
      <c r="C81" s="69"/>
      <c r="D81" s="95" t="s">
        <v>31</v>
      </c>
      <c r="E81" s="35">
        <f>E80*48</f>
        <v>144</v>
      </c>
      <c r="F81" s="36"/>
      <c r="G81" s="37"/>
      <c r="H81" s="38"/>
      <c r="I81" s="19"/>
      <c r="J81" s="19"/>
      <c r="K81" s="31"/>
      <c r="L81" s="19"/>
      <c r="M81" s="32"/>
      <c r="N81" s="11"/>
      <c r="O81" s="11"/>
      <c r="P81" s="54"/>
      <c r="Q81" s="39"/>
      <c r="R81" s="39"/>
      <c r="U81" s="41"/>
    </row>
    <row r="82" spans="1:21" s="40" customFormat="1">
      <c r="A82" s="33" t="str">
        <f>IF(H82&lt;&gt;"",1+MAX($A$5:A81),"")</f>
        <v/>
      </c>
      <c r="B82" s="108"/>
      <c r="C82" s="69"/>
      <c r="D82" s="95" t="s">
        <v>32</v>
      </c>
      <c r="E82" s="35">
        <f>E80</f>
        <v>3</v>
      </c>
      <c r="F82" s="36"/>
      <c r="G82" s="37"/>
      <c r="H82" s="38"/>
      <c r="I82" s="19"/>
      <c r="J82" s="19"/>
      <c r="K82" s="31"/>
      <c r="L82" s="19"/>
      <c r="M82" s="32"/>
      <c r="N82" s="11"/>
      <c r="O82" s="11"/>
      <c r="P82" s="54"/>
      <c r="Q82" s="39"/>
      <c r="R82" s="39"/>
      <c r="U82" s="41"/>
    </row>
    <row r="83" spans="1:21" s="40" customFormat="1">
      <c r="A83" s="33" t="str">
        <f>IF(H83&lt;&gt;"",1+MAX($A$5:A82),"")</f>
        <v/>
      </c>
      <c r="B83" s="108"/>
      <c r="C83" s="69"/>
      <c r="D83" s="95" t="s">
        <v>33</v>
      </c>
      <c r="E83" s="35">
        <f>E80*14</f>
        <v>42</v>
      </c>
      <c r="F83" s="36"/>
      <c r="G83" s="37"/>
      <c r="H83" s="38"/>
      <c r="I83" s="19"/>
      <c r="J83" s="19"/>
      <c r="K83" s="31"/>
      <c r="L83" s="19"/>
      <c r="M83" s="32"/>
      <c r="N83" s="11"/>
      <c r="O83" s="11"/>
      <c r="P83" s="54"/>
      <c r="Q83" s="39"/>
      <c r="R83" s="39"/>
      <c r="U83" s="41"/>
    </row>
    <row r="84" spans="1:21" s="40" customFormat="1">
      <c r="A84" s="33">
        <f>IF(H84&lt;&gt;"",1+MAX($A$5:A83),"")</f>
        <v>34</v>
      </c>
      <c r="B84" s="108"/>
      <c r="C84" s="69"/>
      <c r="D84" s="27" t="s">
        <v>79</v>
      </c>
      <c r="E84" s="35">
        <v>78</v>
      </c>
      <c r="F84" s="36">
        <v>0.1</v>
      </c>
      <c r="G84" s="37">
        <f>(1+F84)*E84</f>
        <v>85.800000000000011</v>
      </c>
      <c r="H84" s="38" t="s">
        <v>30</v>
      </c>
      <c r="I84" s="19">
        <v>1.1760000000000002</v>
      </c>
      <c r="J84" s="19">
        <f t="shared" ref="J84" si="67">I84*G84</f>
        <v>100.90080000000003</v>
      </c>
      <c r="K84" s="31">
        <v>2.52E-2</v>
      </c>
      <c r="L84" s="19">
        <f>$O$14</f>
        <v>46</v>
      </c>
      <c r="M84" s="32">
        <f t="shared" ref="M84" si="68">K84*G84</f>
        <v>2.1621600000000001</v>
      </c>
      <c r="N84" s="11">
        <f t="shared" ref="N84" si="69">M84*L84</f>
        <v>99.459360000000004</v>
      </c>
      <c r="O84" s="11">
        <f t="shared" ref="O84" si="70">N84+J84</f>
        <v>200.36016000000004</v>
      </c>
      <c r="P84" s="54"/>
      <c r="Q84" s="39"/>
      <c r="R84" s="39"/>
      <c r="U84" s="41"/>
    </row>
    <row r="85" spans="1:21" s="40" customFormat="1">
      <c r="A85" s="33" t="str">
        <f>IF(H85&lt;&gt;"",1+MAX($A$5:A84),"")</f>
        <v/>
      </c>
      <c r="B85" s="108"/>
      <c r="C85" s="69"/>
      <c r="D85" s="95" t="s">
        <v>34</v>
      </c>
      <c r="E85" s="35">
        <f>ROUNDUP(G84/32,0)</f>
        <v>3</v>
      </c>
      <c r="F85" s="36"/>
      <c r="G85" s="37"/>
      <c r="H85" s="38"/>
      <c r="I85" s="19"/>
      <c r="J85" s="19"/>
      <c r="K85" s="31"/>
      <c r="L85" s="19"/>
      <c r="M85" s="32"/>
      <c r="N85" s="11"/>
      <c r="O85" s="11"/>
      <c r="P85" s="54"/>
      <c r="Q85" s="39"/>
      <c r="R85" s="39"/>
      <c r="U85" s="41"/>
    </row>
    <row r="86" spans="1:21" s="40" customFormat="1">
      <c r="A86" s="33" t="str">
        <f>IF(H86&lt;&gt;"",1+MAX($A$5:A85),"")</f>
        <v/>
      </c>
      <c r="B86" s="108"/>
      <c r="C86" s="69"/>
      <c r="D86" s="95" t="s">
        <v>31</v>
      </c>
      <c r="E86" s="35">
        <f>E85*48</f>
        <v>144</v>
      </c>
      <c r="F86" s="36"/>
      <c r="G86" s="37"/>
      <c r="H86" s="38"/>
      <c r="I86" s="19"/>
      <c r="J86" s="19"/>
      <c r="K86" s="31"/>
      <c r="L86" s="19"/>
      <c r="M86" s="32"/>
      <c r="N86" s="11"/>
      <c r="O86" s="11"/>
      <c r="P86" s="54"/>
      <c r="Q86" s="39"/>
      <c r="R86" s="39"/>
      <c r="U86" s="41"/>
    </row>
    <row r="87" spans="1:21" s="40" customFormat="1">
      <c r="A87" s="33" t="str">
        <f>IF(H87&lt;&gt;"",1+MAX($A$5:A86),"")</f>
        <v/>
      </c>
      <c r="B87" s="108"/>
      <c r="C87" s="69"/>
      <c r="D87" s="95" t="s">
        <v>32</v>
      </c>
      <c r="E87" s="35">
        <f>E85</f>
        <v>3</v>
      </c>
      <c r="F87" s="36"/>
      <c r="G87" s="37"/>
      <c r="H87" s="38"/>
      <c r="I87" s="19"/>
      <c r="J87" s="19"/>
      <c r="K87" s="31"/>
      <c r="L87" s="19"/>
      <c r="M87" s="32"/>
      <c r="N87" s="11"/>
      <c r="O87" s="11"/>
      <c r="P87" s="54"/>
      <c r="Q87" s="39"/>
      <c r="R87" s="39"/>
      <c r="U87" s="41"/>
    </row>
    <row r="88" spans="1:21" s="40" customFormat="1">
      <c r="A88" s="33" t="str">
        <f>IF(H88&lt;&gt;"",1+MAX($A$5:A87),"")</f>
        <v/>
      </c>
      <c r="B88" s="108"/>
      <c r="C88" s="69"/>
      <c r="D88" s="95" t="s">
        <v>33</v>
      </c>
      <c r="E88" s="35">
        <f>E85*14</f>
        <v>42</v>
      </c>
      <c r="F88" s="36"/>
      <c r="G88" s="37"/>
      <c r="H88" s="38"/>
      <c r="I88" s="19"/>
      <c r="J88" s="19"/>
      <c r="K88" s="31"/>
      <c r="L88" s="19"/>
      <c r="M88" s="32"/>
      <c r="N88" s="11"/>
      <c r="O88" s="11"/>
      <c r="P88" s="54"/>
      <c r="Q88" s="39"/>
      <c r="R88" s="39"/>
      <c r="U88" s="41"/>
    </row>
    <row r="89" spans="1:21" s="40" customFormat="1">
      <c r="A89" s="33">
        <f>IF(H89&lt;&gt;"",1+MAX($A$5:A88),"")</f>
        <v>35</v>
      </c>
      <c r="B89" s="108"/>
      <c r="C89" s="69"/>
      <c r="D89" s="27" t="s">
        <v>80</v>
      </c>
      <c r="E89" s="35">
        <v>78</v>
      </c>
      <c r="F89" s="36">
        <v>0.1</v>
      </c>
      <c r="G89" s="37">
        <f>(1+F89)*E89</f>
        <v>85.800000000000011</v>
      </c>
      <c r="H89" s="38" t="s">
        <v>30</v>
      </c>
      <c r="I89" s="19">
        <v>4.0215000000000005</v>
      </c>
      <c r="J89" s="19">
        <f t="shared" ref="J89:J90" si="71">I89*G89</f>
        <v>345.04470000000009</v>
      </c>
      <c r="K89" s="31">
        <v>4.2000000000000003E-2</v>
      </c>
      <c r="L89" s="19">
        <f t="shared" ref="L89:L90" si="72">$O$14</f>
        <v>46</v>
      </c>
      <c r="M89" s="32">
        <f t="shared" ref="M89:M90" si="73">K89*G89</f>
        <v>3.6036000000000006</v>
      </c>
      <c r="N89" s="11">
        <f t="shared" ref="N89:N90" si="74">M89*L89</f>
        <v>165.76560000000003</v>
      </c>
      <c r="O89" s="11">
        <f t="shared" ref="O89:O90" si="75">N89+J89</f>
        <v>510.8103000000001</v>
      </c>
      <c r="P89" s="54"/>
      <c r="Q89" s="39"/>
      <c r="R89" s="39"/>
      <c r="U89" s="41"/>
    </row>
    <row r="90" spans="1:21" s="40" customFormat="1">
      <c r="A90" s="33">
        <f>IF(H90&lt;&gt;"",1+MAX($A$5:A89),"")</f>
        <v>36</v>
      </c>
      <c r="B90" s="108"/>
      <c r="C90" s="69"/>
      <c r="D90" s="27" t="s">
        <v>35</v>
      </c>
      <c r="E90" s="35">
        <f>4*9.8</f>
        <v>39.200000000000003</v>
      </c>
      <c r="F90" s="36">
        <v>0.1</v>
      </c>
      <c r="G90" s="37">
        <f>(1+F90)*E90</f>
        <v>43.120000000000005</v>
      </c>
      <c r="H90" s="38" t="s">
        <v>3</v>
      </c>
      <c r="I90" s="19">
        <v>0.47250000000000003</v>
      </c>
      <c r="J90" s="19">
        <f t="shared" si="71"/>
        <v>20.374200000000002</v>
      </c>
      <c r="K90" s="31">
        <v>5.6700000000000006E-3</v>
      </c>
      <c r="L90" s="19">
        <f t="shared" si="72"/>
        <v>46</v>
      </c>
      <c r="M90" s="32">
        <f t="shared" si="73"/>
        <v>0.24449040000000005</v>
      </c>
      <c r="N90" s="11">
        <f t="shared" si="74"/>
        <v>11.246558400000003</v>
      </c>
      <c r="O90" s="11">
        <f t="shared" si="75"/>
        <v>31.620758400000007</v>
      </c>
      <c r="P90" s="54"/>
      <c r="Q90" s="39"/>
      <c r="R90" s="39"/>
      <c r="U90" s="41"/>
    </row>
    <row r="91" spans="1:21" s="40" customFormat="1">
      <c r="A91" s="33" t="str">
        <f>IF(H91&lt;&gt;"",1+MAX($A$5:A90),"")</f>
        <v/>
      </c>
      <c r="B91" s="108"/>
      <c r="C91" s="69"/>
      <c r="D91" s="27"/>
      <c r="E91" s="35"/>
      <c r="F91" s="36"/>
      <c r="G91" s="37"/>
      <c r="H91" s="38"/>
      <c r="I91" s="19"/>
      <c r="J91" s="19"/>
      <c r="K91" s="31"/>
      <c r="L91" s="19"/>
      <c r="M91" s="32"/>
      <c r="N91" s="11"/>
      <c r="O91" s="11"/>
      <c r="P91" s="54"/>
      <c r="Q91" s="39"/>
      <c r="R91" s="39"/>
      <c r="U91" s="41"/>
    </row>
    <row r="92" spans="1:21" s="40" customFormat="1">
      <c r="A92" s="33" t="str">
        <f>IF(H92&lt;&gt;"",1+MAX($A$5:A91),"")</f>
        <v/>
      </c>
      <c r="B92" s="108"/>
      <c r="C92" s="69"/>
      <c r="D92" s="94" t="s">
        <v>81</v>
      </c>
      <c r="E92" s="35"/>
      <c r="F92" s="36"/>
      <c r="G92" s="37"/>
      <c r="H92" s="38"/>
      <c r="I92" s="19"/>
      <c r="J92" s="19"/>
      <c r="K92" s="31"/>
      <c r="L92" s="19"/>
      <c r="M92" s="32"/>
      <c r="N92" s="11"/>
      <c r="O92" s="11"/>
      <c r="P92" s="54"/>
      <c r="Q92" s="39"/>
      <c r="R92" s="39"/>
      <c r="U92" s="41"/>
    </row>
    <row r="93" spans="1:21" s="40" customFormat="1">
      <c r="A93" s="33">
        <f>IF(H93&lt;&gt;"",1+MAX($A$5:A92),"")</f>
        <v>37</v>
      </c>
      <c r="B93" s="108"/>
      <c r="C93" s="69"/>
      <c r="D93" s="27" t="s">
        <v>62</v>
      </c>
      <c r="E93" s="35">
        <f>2*8</f>
        <v>16</v>
      </c>
      <c r="F93" s="36">
        <v>0.1</v>
      </c>
      <c r="G93" s="37">
        <f>(1+F93)*E93</f>
        <v>17.600000000000001</v>
      </c>
      <c r="H93" s="38" t="s">
        <v>30</v>
      </c>
      <c r="I93" s="19">
        <v>0.99119999999999997</v>
      </c>
      <c r="J93" s="19">
        <f t="shared" ref="J93" si="76">I93*G93</f>
        <v>17.445119999999999</v>
      </c>
      <c r="K93" s="31">
        <v>2.5620000000000004E-2</v>
      </c>
      <c r="L93" s="19">
        <f>$O$14</f>
        <v>46</v>
      </c>
      <c r="M93" s="32">
        <f t="shared" ref="M93" si="77">K93*G93</f>
        <v>0.45091200000000009</v>
      </c>
      <c r="N93" s="11">
        <f t="shared" ref="N93" si="78">M93*L93</f>
        <v>20.741952000000005</v>
      </c>
      <c r="O93" s="11">
        <f t="shared" ref="O93" si="79">N93+J93</f>
        <v>38.187072000000001</v>
      </c>
      <c r="P93" s="54"/>
      <c r="Q93" s="39"/>
      <c r="R93" s="39"/>
      <c r="U93" s="41"/>
    </row>
    <row r="94" spans="1:21" s="40" customFormat="1">
      <c r="A94" s="33" t="str">
        <f>IF(H94&lt;&gt;"",1+MAX($A$5:A93),"")</f>
        <v/>
      </c>
      <c r="B94" s="108"/>
      <c r="C94" s="69"/>
      <c r="D94" s="95" t="s">
        <v>34</v>
      </c>
      <c r="E94" s="35">
        <f>ROUNDUP(G93/32,0)</f>
        <v>1</v>
      </c>
      <c r="F94" s="36"/>
      <c r="G94" s="37"/>
      <c r="H94" s="38"/>
      <c r="I94" s="19"/>
      <c r="J94" s="19"/>
      <c r="K94" s="31"/>
      <c r="L94" s="19"/>
      <c r="M94" s="32"/>
      <c r="N94" s="11"/>
      <c r="O94" s="11"/>
      <c r="P94" s="54"/>
      <c r="Q94" s="39"/>
      <c r="R94" s="39"/>
      <c r="U94" s="41"/>
    </row>
    <row r="95" spans="1:21" s="40" customFormat="1">
      <c r="A95" s="33" t="str">
        <f>IF(H95&lt;&gt;"",1+MAX($A$5:A94),"")</f>
        <v/>
      </c>
      <c r="B95" s="108"/>
      <c r="C95" s="69"/>
      <c r="D95" s="95" t="s">
        <v>31</v>
      </c>
      <c r="E95" s="35">
        <f>E94*48</f>
        <v>48</v>
      </c>
      <c r="F95" s="36"/>
      <c r="G95" s="37"/>
      <c r="H95" s="38"/>
      <c r="I95" s="19"/>
      <c r="J95" s="19"/>
      <c r="K95" s="31"/>
      <c r="L95" s="19"/>
      <c r="M95" s="32"/>
      <c r="N95" s="11"/>
      <c r="O95" s="11"/>
      <c r="P95" s="54"/>
      <c r="Q95" s="39"/>
      <c r="R95" s="39"/>
      <c r="U95" s="41"/>
    </row>
    <row r="96" spans="1:21" s="40" customFormat="1">
      <c r="A96" s="33" t="str">
        <f>IF(H96&lt;&gt;"",1+MAX($A$5:A95),"")</f>
        <v/>
      </c>
      <c r="B96" s="108"/>
      <c r="C96" s="69"/>
      <c r="D96" s="95" t="s">
        <v>32</v>
      </c>
      <c r="E96" s="35">
        <f>E94</f>
        <v>1</v>
      </c>
      <c r="F96" s="36"/>
      <c r="G96" s="37"/>
      <c r="H96" s="38"/>
      <c r="I96" s="19"/>
      <c r="J96" s="19"/>
      <c r="K96" s="31"/>
      <c r="L96" s="19"/>
      <c r="M96" s="32"/>
      <c r="N96" s="11"/>
      <c r="O96" s="11"/>
      <c r="P96" s="54"/>
      <c r="Q96" s="39"/>
      <c r="R96" s="39"/>
      <c r="U96" s="41"/>
    </row>
    <row r="97" spans="1:21" s="40" customFormat="1">
      <c r="A97" s="33" t="str">
        <f>IF(H97&lt;&gt;"",1+MAX($A$5:A96),"")</f>
        <v/>
      </c>
      <c r="B97" s="108"/>
      <c r="C97" s="69"/>
      <c r="D97" s="95" t="s">
        <v>33</v>
      </c>
      <c r="E97" s="35">
        <f>E94*14</f>
        <v>14</v>
      </c>
      <c r="F97" s="36"/>
      <c r="G97" s="37"/>
      <c r="H97" s="38"/>
      <c r="I97" s="19"/>
      <c r="J97" s="19"/>
      <c r="K97" s="31"/>
      <c r="L97" s="19"/>
      <c r="M97" s="32"/>
      <c r="N97" s="11"/>
      <c r="O97" s="11"/>
      <c r="P97" s="54"/>
      <c r="Q97" s="39"/>
      <c r="R97" s="39"/>
      <c r="U97" s="41"/>
    </row>
    <row r="98" spans="1:21" s="40" customFormat="1">
      <c r="A98" s="33">
        <f>IF(H98&lt;&gt;"",1+MAX($A$5:A97),"")</f>
        <v>38</v>
      </c>
      <c r="B98" s="108"/>
      <c r="C98" s="69"/>
      <c r="D98" s="27" t="s">
        <v>82</v>
      </c>
      <c r="E98" s="35">
        <v>8</v>
      </c>
      <c r="F98" s="36">
        <v>0.1</v>
      </c>
      <c r="G98" s="37">
        <f>(1+F98)*E98</f>
        <v>8.8000000000000007</v>
      </c>
      <c r="H98" s="38" t="s">
        <v>30</v>
      </c>
      <c r="I98" s="19">
        <v>4.0215000000000005</v>
      </c>
      <c r="J98" s="19">
        <f t="shared" ref="J98:J99" si="80">I98*G98</f>
        <v>35.38920000000001</v>
      </c>
      <c r="K98" s="31">
        <v>4.2000000000000003E-2</v>
      </c>
      <c r="L98" s="19">
        <f t="shared" ref="L98:L99" si="81">$O$14</f>
        <v>46</v>
      </c>
      <c r="M98" s="32">
        <f t="shared" ref="M98:M99" si="82">K98*G98</f>
        <v>0.36960000000000004</v>
      </c>
      <c r="N98" s="11">
        <f t="shared" ref="N98:N99" si="83">M98*L98</f>
        <v>17.001600000000003</v>
      </c>
      <c r="O98" s="11">
        <f t="shared" ref="O98:O99" si="84">N98+J98</f>
        <v>52.390800000000013</v>
      </c>
      <c r="P98" s="54"/>
      <c r="Q98" s="39"/>
      <c r="R98" s="39"/>
      <c r="U98" s="41"/>
    </row>
    <row r="99" spans="1:21" s="40" customFormat="1">
      <c r="A99" s="33">
        <f>IF(H99&lt;&gt;"",1+MAX($A$5:A98),"")</f>
        <v>39</v>
      </c>
      <c r="B99" s="108"/>
      <c r="C99" s="69"/>
      <c r="D99" s="27" t="s">
        <v>35</v>
      </c>
      <c r="E99" s="35">
        <f>4*1.97</f>
        <v>7.88</v>
      </c>
      <c r="F99" s="36">
        <v>0.1</v>
      </c>
      <c r="G99" s="37">
        <f>(1+F99)*E99</f>
        <v>8.668000000000001</v>
      </c>
      <c r="H99" s="38" t="s">
        <v>3</v>
      </c>
      <c r="I99" s="19">
        <v>0.47250000000000003</v>
      </c>
      <c r="J99" s="19">
        <f t="shared" si="80"/>
        <v>4.0956300000000008</v>
      </c>
      <c r="K99" s="31">
        <v>5.6700000000000006E-3</v>
      </c>
      <c r="L99" s="19">
        <f t="shared" si="81"/>
        <v>46</v>
      </c>
      <c r="M99" s="32">
        <f t="shared" si="82"/>
        <v>4.9147560000000014E-2</v>
      </c>
      <c r="N99" s="11">
        <f t="shared" si="83"/>
        <v>2.2607877600000008</v>
      </c>
      <c r="O99" s="11">
        <f t="shared" si="84"/>
        <v>6.3564177600000011</v>
      </c>
      <c r="P99" s="54"/>
      <c r="Q99" s="39"/>
      <c r="R99" s="39"/>
      <c r="U99" s="41"/>
    </row>
    <row r="100" spans="1:21" s="40" customFormat="1">
      <c r="A100" s="33" t="str">
        <f>IF(H100&lt;&gt;"",1+MAX($A$5:A99),"")</f>
        <v/>
      </c>
      <c r="B100" s="108"/>
      <c r="C100" s="69"/>
      <c r="D100" s="27"/>
      <c r="E100" s="35"/>
      <c r="F100" s="36"/>
      <c r="G100" s="37"/>
      <c r="H100" s="38"/>
      <c r="I100" s="19"/>
      <c r="J100" s="19"/>
      <c r="K100" s="31"/>
      <c r="L100" s="19"/>
      <c r="M100" s="32"/>
      <c r="N100" s="11"/>
      <c r="O100" s="11"/>
      <c r="P100" s="54"/>
      <c r="Q100" s="39"/>
      <c r="R100" s="39"/>
      <c r="U100" s="41"/>
    </row>
    <row r="101" spans="1:21" s="40" customFormat="1">
      <c r="A101" s="33" t="str">
        <f>IF(H101&lt;&gt;"",1+MAX($A$5:A100),"")</f>
        <v/>
      </c>
      <c r="B101" s="108"/>
      <c r="C101" s="69"/>
      <c r="D101" s="94" t="s">
        <v>83</v>
      </c>
      <c r="E101" s="35"/>
      <c r="F101" s="36"/>
      <c r="G101" s="37"/>
      <c r="H101" s="38"/>
      <c r="I101" s="19"/>
      <c r="J101" s="19"/>
      <c r="K101" s="31"/>
      <c r="L101" s="19"/>
      <c r="M101" s="32"/>
      <c r="N101" s="11"/>
      <c r="O101" s="11"/>
      <c r="P101" s="54"/>
      <c r="Q101" s="39"/>
      <c r="R101" s="39"/>
      <c r="U101" s="41"/>
    </row>
    <row r="102" spans="1:21" s="40" customFormat="1">
      <c r="A102" s="33">
        <f>IF(H102&lt;&gt;"",1+MAX($A$5:A101),"")</f>
        <v>40</v>
      </c>
      <c r="B102" s="108"/>
      <c r="C102" s="69"/>
      <c r="D102" s="27" t="s">
        <v>62</v>
      </c>
      <c r="E102" s="35">
        <f>2*5175+374</f>
        <v>10724</v>
      </c>
      <c r="F102" s="36">
        <v>0.1</v>
      </c>
      <c r="G102" s="37">
        <f>(1+F102)*E102</f>
        <v>11796.400000000001</v>
      </c>
      <c r="H102" s="38" t="s">
        <v>30</v>
      </c>
      <c r="I102" s="19">
        <v>0.99119999999999997</v>
      </c>
      <c r="J102" s="19">
        <f t="shared" ref="J102" si="85">I102*G102</f>
        <v>11692.591680000001</v>
      </c>
      <c r="K102" s="31">
        <v>2.5620000000000004E-2</v>
      </c>
      <c r="L102" s="19">
        <f>$O$14</f>
        <v>46</v>
      </c>
      <c r="M102" s="32">
        <f t="shared" ref="M102" si="86">K102*G102</f>
        <v>302.22376800000006</v>
      </c>
      <c r="N102" s="11">
        <f t="shared" ref="N102" si="87">M102*L102</f>
        <v>13902.293328000003</v>
      </c>
      <c r="O102" s="11">
        <f t="shared" ref="O102" si="88">N102+J102</f>
        <v>25594.885008000005</v>
      </c>
      <c r="P102" s="54"/>
      <c r="Q102" s="39"/>
      <c r="R102" s="39"/>
      <c r="U102" s="41"/>
    </row>
    <row r="103" spans="1:21" s="40" customFormat="1">
      <c r="A103" s="33" t="str">
        <f>IF(H103&lt;&gt;"",1+MAX($A$5:A102),"")</f>
        <v/>
      </c>
      <c r="B103" s="108"/>
      <c r="C103" s="69"/>
      <c r="D103" s="95" t="s">
        <v>34</v>
      </c>
      <c r="E103" s="35">
        <f>ROUNDUP(G102/32,0)</f>
        <v>369</v>
      </c>
      <c r="F103" s="36"/>
      <c r="G103" s="37"/>
      <c r="H103" s="38"/>
      <c r="I103" s="19"/>
      <c r="J103" s="19"/>
      <c r="K103" s="31"/>
      <c r="L103" s="19"/>
      <c r="M103" s="32"/>
      <c r="N103" s="11"/>
      <c r="O103" s="11"/>
      <c r="P103" s="54"/>
      <c r="Q103" s="39"/>
      <c r="R103" s="39"/>
      <c r="U103" s="41"/>
    </row>
    <row r="104" spans="1:21" s="40" customFormat="1">
      <c r="A104" s="33" t="str">
        <f>IF(H104&lt;&gt;"",1+MAX($A$5:A103),"")</f>
        <v/>
      </c>
      <c r="B104" s="108"/>
      <c r="C104" s="69"/>
      <c r="D104" s="95" t="s">
        <v>31</v>
      </c>
      <c r="E104" s="35">
        <f>E103*48</f>
        <v>17712</v>
      </c>
      <c r="F104" s="36"/>
      <c r="G104" s="37"/>
      <c r="H104" s="38"/>
      <c r="I104" s="19"/>
      <c r="J104" s="19"/>
      <c r="K104" s="31"/>
      <c r="L104" s="19"/>
      <c r="M104" s="32"/>
      <c r="N104" s="11"/>
      <c r="O104" s="11"/>
      <c r="P104" s="54"/>
      <c r="Q104" s="39"/>
      <c r="R104" s="39"/>
      <c r="U104" s="41"/>
    </row>
    <row r="105" spans="1:21" s="40" customFormat="1">
      <c r="A105" s="33" t="str">
        <f>IF(H105&lt;&gt;"",1+MAX($A$5:A104),"")</f>
        <v/>
      </c>
      <c r="B105" s="108"/>
      <c r="C105" s="69"/>
      <c r="D105" s="95" t="s">
        <v>32</v>
      </c>
      <c r="E105" s="35">
        <f>E103</f>
        <v>369</v>
      </c>
      <c r="F105" s="36"/>
      <c r="G105" s="37"/>
      <c r="H105" s="38"/>
      <c r="I105" s="19"/>
      <c r="J105" s="19"/>
      <c r="K105" s="31"/>
      <c r="L105" s="19"/>
      <c r="M105" s="32"/>
      <c r="N105" s="11"/>
      <c r="O105" s="11"/>
      <c r="P105" s="54"/>
      <c r="Q105" s="39"/>
      <c r="R105" s="39"/>
      <c r="U105" s="41"/>
    </row>
    <row r="106" spans="1:21" s="40" customFormat="1">
      <c r="A106" s="33" t="str">
        <f>IF(H106&lt;&gt;"",1+MAX($A$5:A105),"")</f>
        <v/>
      </c>
      <c r="B106" s="108"/>
      <c r="C106" s="69"/>
      <c r="D106" s="95" t="s">
        <v>33</v>
      </c>
      <c r="E106" s="35">
        <f>E103*14</f>
        <v>5166</v>
      </c>
      <c r="F106" s="36"/>
      <c r="G106" s="37"/>
      <c r="H106" s="38"/>
      <c r="I106" s="19"/>
      <c r="J106" s="19"/>
      <c r="K106" s="31"/>
      <c r="L106" s="19"/>
      <c r="M106" s="32"/>
      <c r="N106" s="11"/>
      <c r="O106" s="11"/>
      <c r="P106" s="54"/>
      <c r="Q106" s="39"/>
      <c r="R106" s="39"/>
      <c r="U106" s="41"/>
    </row>
    <row r="107" spans="1:21" s="40" customFormat="1">
      <c r="A107" s="33">
        <f>IF(H107&lt;&gt;"",1+MAX($A$5:A106),"")</f>
        <v>41</v>
      </c>
      <c r="B107" s="108"/>
      <c r="C107" s="69"/>
      <c r="D107" s="27" t="s">
        <v>45</v>
      </c>
      <c r="E107" s="35">
        <v>374</v>
      </c>
      <c r="F107" s="36">
        <v>0.1</v>
      </c>
      <c r="G107" s="37">
        <f>(1+F107)*E107</f>
        <v>411.40000000000003</v>
      </c>
      <c r="H107" s="38" t="s">
        <v>30</v>
      </c>
      <c r="I107" s="19">
        <v>1.1760000000000002</v>
      </c>
      <c r="J107" s="19">
        <f t="shared" ref="J107" si="89">I107*G107</f>
        <v>483.80640000000011</v>
      </c>
      <c r="K107" s="31">
        <v>2.52E-2</v>
      </c>
      <c r="L107" s="19">
        <f>$O$14</f>
        <v>46</v>
      </c>
      <c r="M107" s="32">
        <f t="shared" ref="M107" si="90">K107*G107</f>
        <v>10.367280000000001</v>
      </c>
      <c r="N107" s="11">
        <f t="shared" ref="N107" si="91">M107*L107</f>
        <v>476.89488000000006</v>
      </c>
      <c r="O107" s="11">
        <f t="shared" ref="O107" si="92">N107+J107</f>
        <v>960.70128000000022</v>
      </c>
      <c r="P107" s="54"/>
      <c r="Q107" s="39"/>
      <c r="R107" s="39"/>
      <c r="U107" s="41"/>
    </row>
    <row r="108" spans="1:21" s="40" customFormat="1">
      <c r="A108" s="33" t="str">
        <f>IF(H108&lt;&gt;"",1+MAX($A$5:A107),"")</f>
        <v/>
      </c>
      <c r="B108" s="108"/>
      <c r="C108" s="69"/>
      <c r="D108" s="95" t="s">
        <v>34</v>
      </c>
      <c r="E108" s="35">
        <f>ROUNDUP(G107/32,0)</f>
        <v>13</v>
      </c>
      <c r="F108" s="36"/>
      <c r="G108" s="37"/>
      <c r="H108" s="38"/>
      <c r="I108" s="19"/>
      <c r="J108" s="19"/>
      <c r="K108" s="31"/>
      <c r="L108" s="19"/>
      <c r="M108" s="32"/>
      <c r="N108" s="11"/>
      <c r="O108" s="11"/>
      <c r="P108" s="54"/>
      <c r="Q108" s="39"/>
      <c r="R108" s="39"/>
      <c r="U108" s="41"/>
    </row>
    <row r="109" spans="1:21" s="40" customFormat="1">
      <c r="A109" s="33" t="str">
        <f>IF(H109&lt;&gt;"",1+MAX($A$5:A108),"")</f>
        <v/>
      </c>
      <c r="B109" s="108"/>
      <c r="C109" s="69"/>
      <c r="D109" s="95" t="s">
        <v>31</v>
      </c>
      <c r="E109" s="35">
        <f>E108*48</f>
        <v>624</v>
      </c>
      <c r="F109" s="36"/>
      <c r="G109" s="37"/>
      <c r="H109" s="38"/>
      <c r="I109" s="19"/>
      <c r="J109" s="19"/>
      <c r="K109" s="31"/>
      <c r="L109" s="19"/>
      <c r="M109" s="32"/>
      <c r="N109" s="11"/>
      <c r="O109" s="11"/>
      <c r="P109" s="54"/>
      <c r="Q109" s="39"/>
      <c r="R109" s="39"/>
      <c r="U109" s="41"/>
    </row>
    <row r="110" spans="1:21" s="40" customFormat="1">
      <c r="A110" s="33" t="str">
        <f>IF(H110&lt;&gt;"",1+MAX($A$5:A109),"")</f>
        <v/>
      </c>
      <c r="B110" s="108"/>
      <c r="C110" s="69"/>
      <c r="D110" s="95" t="s">
        <v>32</v>
      </c>
      <c r="E110" s="35">
        <f>E108</f>
        <v>13</v>
      </c>
      <c r="F110" s="36"/>
      <c r="G110" s="37"/>
      <c r="H110" s="38"/>
      <c r="I110" s="19"/>
      <c r="J110" s="19"/>
      <c r="K110" s="31"/>
      <c r="L110" s="19"/>
      <c r="M110" s="32"/>
      <c r="N110" s="11"/>
      <c r="O110" s="11"/>
      <c r="P110" s="54"/>
      <c r="Q110" s="39"/>
      <c r="R110" s="39"/>
      <c r="U110" s="41"/>
    </row>
    <row r="111" spans="1:21" s="40" customFormat="1">
      <c r="A111" s="33" t="str">
        <f>IF(H111&lt;&gt;"",1+MAX($A$5:A110),"")</f>
        <v/>
      </c>
      <c r="B111" s="108"/>
      <c r="C111" s="69"/>
      <c r="D111" s="95" t="s">
        <v>33</v>
      </c>
      <c r="E111" s="35">
        <f>E108*14</f>
        <v>182</v>
      </c>
      <c r="F111" s="36"/>
      <c r="G111" s="37"/>
      <c r="H111" s="38"/>
      <c r="I111" s="19"/>
      <c r="J111" s="19"/>
      <c r="K111" s="31"/>
      <c r="L111" s="19"/>
      <c r="M111" s="32"/>
      <c r="N111" s="11"/>
      <c r="O111" s="11"/>
      <c r="P111" s="54"/>
      <c r="Q111" s="39"/>
      <c r="R111" s="39"/>
      <c r="U111" s="41"/>
    </row>
    <row r="112" spans="1:21" s="40" customFormat="1">
      <c r="A112" s="33">
        <f>IF(H112&lt;&gt;"",1+MAX($A$5:A111),"")</f>
        <v>42</v>
      </c>
      <c r="B112" s="108"/>
      <c r="C112" s="69"/>
      <c r="D112" s="27" t="s">
        <v>84</v>
      </c>
      <c r="E112" s="35">
        <v>5549</v>
      </c>
      <c r="F112" s="36">
        <v>0.1</v>
      </c>
      <c r="G112" s="37">
        <f>(1+F112)*E112</f>
        <v>6103.9000000000005</v>
      </c>
      <c r="H112" s="38" t="s">
        <v>30</v>
      </c>
      <c r="I112" s="19">
        <v>6.2790000000000008</v>
      </c>
      <c r="J112" s="19">
        <f t="shared" ref="J112" si="93">I112*G112</f>
        <v>38326.388100000011</v>
      </c>
      <c r="K112" s="31">
        <v>6.3E-2</v>
      </c>
      <c r="L112" s="19">
        <f t="shared" ref="L112:L114" si="94">$O$14</f>
        <v>46</v>
      </c>
      <c r="M112" s="32">
        <f t="shared" ref="M112:M114" si="95">K112*G112</f>
        <v>384.54570000000001</v>
      </c>
      <c r="N112" s="11">
        <f t="shared" ref="N112:N114" si="96">M112*L112</f>
        <v>17689.102200000001</v>
      </c>
      <c r="O112" s="11">
        <f t="shared" ref="O112:O114" si="97">N112+J112</f>
        <v>56015.490300000012</v>
      </c>
      <c r="P112" s="54"/>
      <c r="Q112" s="39"/>
      <c r="R112" s="39"/>
      <c r="U112" s="41"/>
    </row>
    <row r="113" spans="1:21" s="40" customFormat="1">
      <c r="A113" s="33">
        <f>IF(H113&lt;&gt;"",1+MAX($A$5:A112),"")</f>
        <v>43</v>
      </c>
      <c r="B113" s="108"/>
      <c r="C113" s="69"/>
      <c r="D113" s="27" t="s">
        <v>85</v>
      </c>
      <c r="E113" s="35">
        <v>5549</v>
      </c>
      <c r="F113" s="36">
        <v>0.1</v>
      </c>
      <c r="G113" s="37">
        <f>(1+F113)*E113</f>
        <v>6103.9000000000005</v>
      </c>
      <c r="H113" s="38" t="s">
        <v>30</v>
      </c>
      <c r="I113" s="19">
        <v>1.4070000000000003</v>
      </c>
      <c r="J113" s="19">
        <f t="shared" ref="J113:J114" si="98">I113*G113</f>
        <v>8588.1873000000014</v>
      </c>
      <c r="K113" s="31">
        <v>2.1000000000000001E-2</v>
      </c>
      <c r="L113" s="19">
        <f t="shared" si="94"/>
        <v>46</v>
      </c>
      <c r="M113" s="32">
        <f t="shared" si="95"/>
        <v>128.18190000000001</v>
      </c>
      <c r="N113" s="11">
        <f t="shared" si="96"/>
        <v>5896.367400000001</v>
      </c>
      <c r="O113" s="11">
        <f t="shared" si="97"/>
        <v>14484.554700000002</v>
      </c>
      <c r="P113" s="54"/>
      <c r="Q113" s="39"/>
      <c r="R113" s="39"/>
      <c r="U113" s="41"/>
    </row>
    <row r="114" spans="1:21" s="40" customFormat="1">
      <c r="A114" s="33">
        <f>IF(H114&lt;&gt;"",1+MAX($A$5:A113),"")</f>
        <v>44</v>
      </c>
      <c r="B114" s="108"/>
      <c r="C114" s="69"/>
      <c r="D114" s="27" t="s">
        <v>35</v>
      </c>
      <c r="E114" s="35">
        <f>4*374.11</f>
        <v>1496.44</v>
      </c>
      <c r="F114" s="36">
        <v>0.1</v>
      </c>
      <c r="G114" s="37">
        <f>(1+F114)*E114</f>
        <v>1646.0840000000003</v>
      </c>
      <c r="H114" s="38" t="s">
        <v>3</v>
      </c>
      <c r="I114" s="19">
        <v>0.47250000000000003</v>
      </c>
      <c r="J114" s="19">
        <f t="shared" si="98"/>
        <v>777.77469000000019</v>
      </c>
      <c r="K114" s="31">
        <v>5.6700000000000006E-3</v>
      </c>
      <c r="L114" s="19">
        <f t="shared" si="94"/>
        <v>46</v>
      </c>
      <c r="M114" s="32">
        <f t="shared" si="95"/>
        <v>9.3332962800000026</v>
      </c>
      <c r="N114" s="11">
        <f t="shared" si="96"/>
        <v>429.3316288800001</v>
      </c>
      <c r="O114" s="11">
        <f t="shared" si="97"/>
        <v>1207.1063188800003</v>
      </c>
      <c r="P114" s="54"/>
      <c r="Q114" s="39"/>
      <c r="R114" s="39"/>
      <c r="U114" s="41"/>
    </row>
    <row r="115" spans="1:21" s="40" customFormat="1">
      <c r="A115" s="33" t="str">
        <f>IF(H115&lt;&gt;"",1+MAX($A$5:A114),"")</f>
        <v/>
      </c>
      <c r="B115" s="108"/>
      <c r="C115" s="69"/>
      <c r="D115" s="27"/>
      <c r="E115" s="35"/>
      <c r="F115" s="36"/>
      <c r="G115" s="37"/>
      <c r="H115" s="38"/>
      <c r="I115" s="19"/>
      <c r="J115" s="19"/>
      <c r="K115" s="31"/>
      <c r="L115" s="19"/>
      <c r="M115" s="32"/>
      <c r="N115" s="11"/>
      <c r="O115" s="11"/>
      <c r="P115" s="54"/>
      <c r="Q115" s="39"/>
      <c r="R115" s="39"/>
      <c r="U115" s="41"/>
    </row>
    <row r="116" spans="1:21" s="40" customFormat="1">
      <c r="A116" s="33" t="str">
        <f>IF(H116&lt;&gt;"",1+MAX($A$5:A115),"")</f>
        <v/>
      </c>
      <c r="B116" s="108"/>
      <c r="C116" s="69"/>
      <c r="D116" s="94" t="s">
        <v>86</v>
      </c>
      <c r="E116" s="35"/>
      <c r="F116" s="36"/>
      <c r="G116" s="37"/>
      <c r="H116" s="38"/>
      <c r="I116" s="19"/>
      <c r="J116" s="19"/>
      <c r="K116" s="31"/>
      <c r="L116" s="19"/>
      <c r="M116" s="32"/>
      <c r="N116" s="11"/>
      <c r="O116" s="11"/>
      <c r="P116" s="54"/>
      <c r="Q116" s="39"/>
      <c r="R116" s="39"/>
      <c r="U116" s="41"/>
    </row>
    <row r="117" spans="1:21" s="40" customFormat="1">
      <c r="A117" s="33">
        <f>IF(H117&lt;&gt;"",1+MAX($A$5:A116),"")</f>
        <v>45</v>
      </c>
      <c r="B117" s="108"/>
      <c r="C117" s="69"/>
      <c r="D117" s="27" t="s">
        <v>78</v>
      </c>
      <c r="E117" s="35">
        <v>234</v>
      </c>
      <c r="F117" s="36">
        <v>0.1</v>
      </c>
      <c r="G117" s="37">
        <f>(1+F117)*E117</f>
        <v>257.40000000000003</v>
      </c>
      <c r="H117" s="38" t="s">
        <v>30</v>
      </c>
      <c r="I117" s="19">
        <v>0.99119999999999997</v>
      </c>
      <c r="J117" s="19">
        <f t="shared" ref="J117" si="99">I117*G117</f>
        <v>255.13488000000004</v>
      </c>
      <c r="K117" s="31">
        <v>2.5620000000000004E-2</v>
      </c>
      <c r="L117" s="19">
        <f>$O$14</f>
        <v>46</v>
      </c>
      <c r="M117" s="32">
        <f t="shared" ref="M117" si="100">K117*G117</f>
        <v>6.5945880000000017</v>
      </c>
      <c r="N117" s="11">
        <f t="shared" ref="N117" si="101">M117*L117</f>
        <v>303.35104800000011</v>
      </c>
      <c r="O117" s="11">
        <f t="shared" ref="O117" si="102">N117+J117</f>
        <v>558.48592800000017</v>
      </c>
      <c r="P117" s="54"/>
      <c r="Q117" s="39"/>
      <c r="R117" s="39"/>
      <c r="U117" s="41"/>
    </row>
    <row r="118" spans="1:21" s="40" customFormat="1">
      <c r="A118" s="33" t="str">
        <f>IF(H118&lt;&gt;"",1+MAX($A$5:A117),"")</f>
        <v/>
      </c>
      <c r="B118" s="108"/>
      <c r="C118" s="69"/>
      <c r="D118" s="95" t="s">
        <v>34</v>
      </c>
      <c r="E118" s="35">
        <f>ROUNDUP(G117/32,0)</f>
        <v>9</v>
      </c>
      <c r="F118" s="36"/>
      <c r="G118" s="37"/>
      <c r="H118" s="38"/>
      <c r="I118" s="19"/>
      <c r="J118" s="19"/>
      <c r="K118" s="31"/>
      <c r="L118" s="19"/>
      <c r="M118" s="32"/>
      <c r="N118" s="11"/>
      <c r="O118" s="11"/>
      <c r="P118" s="54"/>
      <c r="Q118" s="39"/>
      <c r="R118" s="39"/>
      <c r="U118" s="41"/>
    </row>
    <row r="119" spans="1:21" s="40" customFormat="1">
      <c r="A119" s="33" t="str">
        <f>IF(H119&lt;&gt;"",1+MAX($A$5:A118),"")</f>
        <v/>
      </c>
      <c r="B119" s="108"/>
      <c r="C119" s="69"/>
      <c r="D119" s="95" t="s">
        <v>31</v>
      </c>
      <c r="E119" s="35">
        <f>E118*48</f>
        <v>432</v>
      </c>
      <c r="F119" s="36"/>
      <c r="G119" s="37"/>
      <c r="H119" s="38"/>
      <c r="I119" s="19"/>
      <c r="J119" s="19"/>
      <c r="K119" s="31"/>
      <c r="L119" s="19"/>
      <c r="M119" s="32"/>
      <c r="N119" s="11"/>
      <c r="O119" s="11"/>
      <c r="P119" s="54"/>
      <c r="Q119" s="39"/>
      <c r="R119" s="39"/>
      <c r="U119" s="41"/>
    </row>
    <row r="120" spans="1:21" s="40" customFormat="1">
      <c r="A120" s="33" t="str">
        <f>IF(H120&lt;&gt;"",1+MAX($A$5:A119),"")</f>
        <v/>
      </c>
      <c r="B120" s="108"/>
      <c r="C120" s="69"/>
      <c r="D120" s="95" t="s">
        <v>32</v>
      </c>
      <c r="E120" s="35">
        <f>E118</f>
        <v>9</v>
      </c>
      <c r="F120" s="36"/>
      <c r="G120" s="37"/>
      <c r="H120" s="38"/>
      <c r="I120" s="19"/>
      <c r="J120" s="19"/>
      <c r="K120" s="31"/>
      <c r="L120" s="19"/>
      <c r="M120" s="32"/>
      <c r="N120" s="11"/>
      <c r="O120" s="11"/>
      <c r="P120" s="54"/>
      <c r="Q120" s="39"/>
      <c r="R120" s="39"/>
      <c r="U120" s="41"/>
    </row>
    <row r="121" spans="1:21" s="40" customFormat="1">
      <c r="A121" s="33" t="str">
        <f>IF(H121&lt;&gt;"",1+MAX($A$5:A120),"")</f>
        <v/>
      </c>
      <c r="B121" s="108"/>
      <c r="C121" s="69"/>
      <c r="D121" s="95" t="s">
        <v>33</v>
      </c>
      <c r="E121" s="35">
        <f>E118*14</f>
        <v>126</v>
      </c>
      <c r="F121" s="36"/>
      <c r="G121" s="37"/>
      <c r="H121" s="38"/>
      <c r="I121" s="19"/>
      <c r="J121" s="19"/>
      <c r="K121" s="31"/>
      <c r="L121" s="19"/>
      <c r="M121" s="32"/>
      <c r="N121" s="11"/>
      <c r="O121" s="11"/>
      <c r="P121" s="54"/>
      <c r="Q121" s="39"/>
      <c r="R121" s="39"/>
      <c r="U121" s="41"/>
    </row>
    <row r="122" spans="1:21" s="40" customFormat="1">
      <c r="A122" s="33">
        <f>IF(H122&lt;&gt;"",1+MAX($A$5:A121),"")</f>
        <v>46</v>
      </c>
      <c r="B122" s="108"/>
      <c r="C122" s="69"/>
      <c r="D122" s="27" t="s">
        <v>79</v>
      </c>
      <c r="E122" s="35">
        <v>133.96</v>
      </c>
      <c r="F122" s="36">
        <v>0.1</v>
      </c>
      <c r="G122" s="37">
        <f>(1+F122)*E122</f>
        <v>147.35600000000002</v>
      </c>
      <c r="H122" s="38" t="s">
        <v>30</v>
      </c>
      <c r="I122" s="19">
        <v>1.1760000000000002</v>
      </c>
      <c r="J122" s="19">
        <f t="shared" ref="J122" si="103">I122*G122</f>
        <v>173.29065600000004</v>
      </c>
      <c r="K122" s="31">
        <v>2.52E-2</v>
      </c>
      <c r="L122" s="19">
        <f>$O$14</f>
        <v>46</v>
      </c>
      <c r="M122" s="32">
        <f t="shared" ref="M122" si="104">K122*G122</f>
        <v>3.7133712000000005</v>
      </c>
      <c r="N122" s="11">
        <f t="shared" ref="N122" si="105">M122*L122</f>
        <v>170.81507520000002</v>
      </c>
      <c r="O122" s="11">
        <f t="shared" ref="O122" si="106">N122+J122</f>
        <v>344.10573120000004</v>
      </c>
      <c r="P122" s="54"/>
      <c r="Q122" s="39"/>
      <c r="R122" s="39"/>
      <c r="U122" s="41"/>
    </row>
    <row r="123" spans="1:21" s="40" customFormat="1">
      <c r="A123" s="33" t="str">
        <f>IF(H123&lt;&gt;"",1+MAX($A$5:A122),"")</f>
        <v/>
      </c>
      <c r="B123" s="108"/>
      <c r="C123" s="69"/>
      <c r="D123" s="95" t="s">
        <v>34</v>
      </c>
      <c r="E123" s="35">
        <f>ROUNDUP(G122/32,0)</f>
        <v>5</v>
      </c>
      <c r="F123" s="36"/>
      <c r="G123" s="37"/>
      <c r="H123" s="38"/>
      <c r="I123" s="19"/>
      <c r="J123" s="19"/>
      <c r="K123" s="31"/>
      <c r="L123" s="19"/>
      <c r="M123" s="32"/>
      <c r="N123" s="11"/>
      <c r="O123" s="11"/>
      <c r="P123" s="54"/>
      <c r="Q123" s="39"/>
      <c r="R123" s="39"/>
      <c r="U123" s="41"/>
    </row>
    <row r="124" spans="1:21" s="40" customFormat="1">
      <c r="A124" s="33" t="str">
        <f>IF(H124&lt;&gt;"",1+MAX($A$5:A123),"")</f>
        <v/>
      </c>
      <c r="B124" s="108"/>
      <c r="C124" s="69"/>
      <c r="D124" s="95" t="s">
        <v>31</v>
      </c>
      <c r="E124" s="35">
        <f>E123*48</f>
        <v>240</v>
      </c>
      <c r="F124" s="36"/>
      <c r="G124" s="37"/>
      <c r="H124" s="38"/>
      <c r="I124" s="19"/>
      <c r="J124" s="19"/>
      <c r="K124" s="31"/>
      <c r="L124" s="19"/>
      <c r="M124" s="32"/>
      <c r="N124" s="11"/>
      <c r="O124" s="11"/>
      <c r="P124" s="54"/>
      <c r="Q124" s="39"/>
      <c r="R124" s="39"/>
      <c r="U124" s="41"/>
    </row>
    <row r="125" spans="1:21" s="40" customFormat="1">
      <c r="A125" s="33" t="str">
        <f>IF(H125&lt;&gt;"",1+MAX($A$5:A124),"")</f>
        <v/>
      </c>
      <c r="B125" s="108"/>
      <c r="C125" s="69"/>
      <c r="D125" s="95" t="s">
        <v>32</v>
      </c>
      <c r="E125" s="35">
        <f>E123</f>
        <v>5</v>
      </c>
      <c r="F125" s="36"/>
      <c r="G125" s="37"/>
      <c r="H125" s="38"/>
      <c r="I125" s="19"/>
      <c r="J125" s="19"/>
      <c r="K125" s="31"/>
      <c r="L125" s="19"/>
      <c r="M125" s="32"/>
      <c r="N125" s="11"/>
      <c r="O125" s="11"/>
      <c r="P125" s="54"/>
      <c r="Q125" s="39"/>
      <c r="R125" s="39"/>
      <c r="U125" s="41"/>
    </row>
    <row r="126" spans="1:21" s="40" customFormat="1">
      <c r="A126" s="33" t="str">
        <f>IF(H126&lt;&gt;"",1+MAX($A$5:A125),"")</f>
        <v/>
      </c>
      <c r="B126" s="108"/>
      <c r="C126" s="69"/>
      <c r="D126" s="95" t="s">
        <v>33</v>
      </c>
      <c r="E126" s="35">
        <f>E123*14</f>
        <v>70</v>
      </c>
      <c r="F126" s="36"/>
      <c r="G126" s="37"/>
      <c r="H126" s="38"/>
      <c r="I126" s="19"/>
      <c r="J126" s="19"/>
      <c r="K126" s="31"/>
      <c r="L126" s="19"/>
      <c r="M126" s="32"/>
      <c r="N126" s="11"/>
      <c r="O126" s="11"/>
      <c r="P126" s="54"/>
      <c r="Q126" s="39"/>
      <c r="R126" s="39"/>
      <c r="U126" s="41"/>
    </row>
    <row r="127" spans="1:21" s="40" customFormat="1">
      <c r="A127" s="33">
        <f>IF(H127&lt;&gt;"",1+MAX($A$5:A126),"")</f>
        <v>47</v>
      </c>
      <c r="B127" s="108"/>
      <c r="C127" s="69"/>
      <c r="D127" s="27" t="s">
        <v>87</v>
      </c>
      <c r="E127" s="35">
        <v>234</v>
      </c>
      <c r="F127" s="36">
        <v>0.1</v>
      </c>
      <c r="G127" s="37">
        <f>(1+F127)*E127</f>
        <v>257.40000000000003</v>
      </c>
      <c r="H127" s="38" t="s">
        <v>30</v>
      </c>
      <c r="I127" s="19">
        <v>4.0215000000000005</v>
      </c>
      <c r="J127" s="19">
        <f t="shared" ref="J127:J128" si="107">I127*G127</f>
        <v>1035.1341000000002</v>
      </c>
      <c r="K127" s="31">
        <v>4.2000000000000003E-2</v>
      </c>
      <c r="L127" s="19">
        <f t="shared" ref="L127:L128" si="108">$O$14</f>
        <v>46</v>
      </c>
      <c r="M127" s="32">
        <f t="shared" ref="M127:M128" si="109">K127*G127</f>
        <v>10.810800000000002</v>
      </c>
      <c r="N127" s="11">
        <f t="shared" ref="N127:N128" si="110">M127*L127</f>
        <v>497.29680000000008</v>
      </c>
      <c r="O127" s="11">
        <f t="shared" ref="O127:O128" si="111">N127+J127</f>
        <v>1532.4309000000003</v>
      </c>
      <c r="P127" s="54"/>
      <c r="Q127" s="39"/>
      <c r="R127" s="39"/>
      <c r="U127" s="41"/>
    </row>
    <row r="128" spans="1:21" s="40" customFormat="1">
      <c r="A128" s="33">
        <f>IF(H128&lt;&gt;"",1+MAX($A$5:A127),"")</f>
        <v>48</v>
      </c>
      <c r="B128" s="108"/>
      <c r="C128" s="69"/>
      <c r="D128" s="27" t="s">
        <v>35</v>
      </c>
      <c r="E128" s="35">
        <f>4*15.76</f>
        <v>63.04</v>
      </c>
      <c r="F128" s="36">
        <v>0.1</v>
      </c>
      <c r="G128" s="37">
        <f>(1+F128)*E128</f>
        <v>69.344000000000008</v>
      </c>
      <c r="H128" s="38" t="s">
        <v>3</v>
      </c>
      <c r="I128" s="19">
        <v>0.47250000000000003</v>
      </c>
      <c r="J128" s="19">
        <f t="shared" si="107"/>
        <v>32.765040000000006</v>
      </c>
      <c r="K128" s="31">
        <v>5.6700000000000006E-3</v>
      </c>
      <c r="L128" s="19">
        <f t="shared" si="108"/>
        <v>46</v>
      </c>
      <c r="M128" s="32">
        <f t="shared" si="109"/>
        <v>0.39318048000000011</v>
      </c>
      <c r="N128" s="11">
        <f t="shared" si="110"/>
        <v>18.086302080000006</v>
      </c>
      <c r="O128" s="11">
        <f t="shared" si="111"/>
        <v>50.851342080000009</v>
      </c>
      <c r="P128" s="54"/>
      <c r="Q128" s="39"/>
      <c r="R128" s="39"/>
      <c r="U128" s="41"/>
    </row>
    <row r="129" spans="1:21" s="40" customFormat="1">
      <c r="A129" s="33" t="str">
        <f>IF(H129&lt;&gt;"",1+MAX($A$5:A128),"")</f>
        <v/>
      </c>
      <c r="B129" s="108"/>
      <c r="C129" s="69"/>
      <c r="D129" s="27"/>
      <c r="E129" s="35"/>
      <c r="F129" s="36"/>
      <c r="G129" s="37"/>
      <c r="H129" s="38"/>
      <c r="I129" s="19"/>
      <c r="J129" s="19"/>
      <c r="K129" s="31"/>
      <c r="L129" s="19"/>
      <c r="M129" s="32"/>
      <c r="N129" s="11"/>
      <c r="O129" s="11"/>
      <c r="P129" s="54"/>
      <c r="Q129" s="39"/>
      <c r="R129" s="39"/>
      <c r="U129" s="41"/>
    </row>
    <row r="130" spans="1:21" s="40" customFormat="1">
      <c r="A130" s="33" t="str">
        <f>IF(H130&lt;&gt;"",1+MAX($A$5:A129),"")</f>
        <v/>
      </c>
      <c r="B130" s="108"/>
      <c r="C130" s="69"/>
      <c r="D130" s="94" t="s">
        <v>88</v>
      </c>
      <c r="E130" s="35"/>
      <c r="F130" s="36"/>
      <c r="G130" s="37"/>
      <c r="H130" s="38"/>
      <c r="I130" s="19"/>
      <c r="J130" s="19"/>
      <c r="K130" s="31"/>
      <c r="L130" s="19"/>
      <c r="M130" s="32"/>
      <c r="N130" s="11"/>
      <c r="O130" s="11"/>
      <c r="P130" s="54"/>
      <c r="Q130" s="39"/>
      <c r="R130" s="39"/>
      <c r="U130" s="41"/>
    </row>
    <row r="131" spans="1:21" s="40" customFormat="1">
      <c r="A131" s="33">
        <f>IF(H131&lt;&gt;"",1+MAX($A$5:A130),"")</f>
        <v>49</v>
      </c>
      <c r="B131" s="108"/>
      <c r="C131" s="69"/>
      <c r="D131" s="27" t="s">
        <v>62</v>
      </c>
      <c r="E131" s="35">
        <f>2*1338</f>
        <v>2676</v>
      </c>
      <c r="F131" s="36">
        <v>0.1</v>
      </c>
      <c r="G131" s="37">
        <f>(1+F131)*E131</f>
        <v>2943.6000000000004</v>
      </c>
      <c r="H131" s="38" t="s">
        <v>30</v>
      </c>
      <c r="I131" s="19">
        <v>0.99119999999999997</v>
      </c>
      <c r="J131" s="19">
        <f t="shared" ref="J131" si="112">I131*G131</f>
        <v>2917.6963200000005</v>
      </c>
      <c r="K131" s="31">
        <v>2.5620000000000004E-2</v>
      </c>
      <c r="L131" s="19">
        <f>$O$14</f>
        <v>46</v>
      </c>
      <c r="M131" s="32">
        <f t="shared" ref="M131" si="113">K131*G131</f>
        <v>75.415032000000025</v>
      </c>
      <c r="N131" s="11">
        <f t="shared" ref="N131" si="114">M131*L131</f>
        <v>3469.091472000001</v>
      </c>
      <c r="O131" s="11">
        <f t="shared" ref="O131" si="115">N131+J131</f>
        <v>6386.787792000001</v>
      </c>
      <c r="P131" s="54"/>
      <c r="Q131" s="39"/>
      <c r="R131" s="39"/>
      <c r="U131" s="41"/>
    </row>
    <row r="132" spans="1:21" s="40" customFormat="1">
      <c r="A132" s="33" t="str">
        <f>IF(H132&lt;&gt;"",1+MAX($A$5:A131),"")</f>
        <v/>
      </c>
      <c r="B132" s="108"/>
      <c r="C132" s="69"/>
      <c r="D132" s="95" t="s">
        <v>34</v>
      </c>
      <c r="E132" s="35">
        <f>ROUNDUP(G131/32,0)</f>
        <v>92</v>
      </c>
      <c r="F132" s="36"/>
      <c r="G132" s="37"/>
      <c r="H132" s="38"/>
      <c r="I132" s="19"/>
      <c r="J132" s="19"/>
      <c r="K132" s="31"/>
      <c r="L132" s="19"/>
      <c r="M132" s="32"/>
      <c r="N132" s="11"/>
      <c r="O132" s="11"/>
      <c r="P132" s="54"/>
      <c r="Q132" s="39"/>
      <c r="R132" s="39"/>
      <c r="U132" s="41"/>
    </row>
    <row r="133" spans="1:21" s="40" customFormat="1">
      <c r="A133" s="33" t="str">
        <f>IF(H133&lt;&gt;"",1+MAX($A$5:A132),"")</f>
        <v/>
      </c>
      <c r="B133" s="108"/>
      <c r="C133" s="69"/>
      <c r="D133" s="95" t="s">
        <v>31</v>
      </c>
      <c r="E133" s="35">
        <f>E132*48</f>
        <v>4416</v>
      </c>
      <c r="F133" s="36"/>
      <c r="G133" s="37"/>
      <c r="H133" s="38"/>
      <c r="I133" s="19"/>
      <c r="J133" s="19"/>
      <c r="K133" s="31"/>
      <c r="L133" s="19"/>
      <c r="M133" s="32"/>
      <c r="N133" s="11"/>
      <c r="O133" s="11"/>
      <c r="P133" s="54"/>
      <c r="Q133" s="39"/>
      <c r="R133" s="39"/>
      <c r="U133" s="41"/>
    </row>
    <row r="134" spans="1:21" s="40" customFormat="1">
      <c r="A134" s="33" t="str">
        <f>IF(H134&lt;&gt;"",1+MAX($A$5:A133),"")</f>
        <v/>
      </c>
      <c r="B134" s="108"/>
      <c r="C134" s="69"/>
      <c r="D134" s="95" t="s">
        <v>32</v>
      </c>
      <c r="E134" s="35">
        <f>E132</f>
        <v>92</v>
      </c>
      <c r="F134" s="36"/>
      <c r="G134" s="37"/>
      <c r="H134" s="38"/>
      <c r="I134" s="19"/>
      <c r="J134" s="19"/>
      <c r="K134" s="31"/>
      <c r="L134" s="19"/>
      <c r="M134" s="32"/>
      <c r="N134" s="11"/>
      <c r="O134" s="11"/>
      <c r="P134" s="54"/>
      <c r="Q134" s="39"/>
      <c r="R134" s="39"/>
      <c r="U134" s="41"/>
    </row>
    <row r="135" spans="1:21" s="40" customFormat="1">
      <c r="A135" s="33" t="str">
        <f>IF(H135&lt;&gt;"",1+MAX($A$5:A134),"")</f>
        <v/>
      </c>
      <c r="B135" s="108"/>
      <c r="C135" s="69"/>
      <c r="D135" s="95" t="s">
        <v>33</v>
      </c>
      <c r="E135" s="35">
        <f>E132*14</f>
        <v>1288</v>
      </c>
      <c r="F135" s="36"/>
      <c r="G135" s="37"/>
      <c r="H135" s="38"/>
      <c r="I135" s="19"/>
      <c r="J135" s="19"/>
      <c r="K135" s="31"/>
      <c r="L135" s="19"/>
      <c r="M135" s="32"/>
      <c r="N135" s="11"/>
      <c r="O135" s="11"/>
      <c r="P135" s="54"/>
      <c r="Q135" s="39"/>
      <c r="R135" s="39"/>
      <c r="U135" s="41"/>
    </row>
    <row r="136" spans="1:21" s="40" customFormat="1">
      <c r="A136" s="33">
        <f>IF(H136&lt;&gt;"",1+MAX($A$5:A135),"")</f>
        <v>50</v>
      </c>
      <c r="B136" s="108"/>
      <c r="C136" s="69"/>
      <c r="D136" s="27" t="s">
        <v>89</v>
      </c>
      <c r="E136" s="35">
        <v>1338</v>
      </c>
      <c r="F136" s="36">
        <v>0.1</v>
      </c>
      <c r="G136" s="37">
        <f>(1+F136)*E136</f>
        <v>1471.8000000000002</v>
      </c>
      <c r="H136" s="38" t="s">
        <v>30</v>
      </c>
      <c r="I136" s="19">
        <v>6.2790000000000008</v>
      </c>
      <c r="J136" s="19">
        <f t="shared" ref="J136:J137" si="116">I136*G136</f>
        <v>9241.4322000000029</v>
      </c>
      <c r="K136" s="31">
        <v>6.3E-2</v>
      </c>
      <c r="L136" s="19">
        <f t="shared" ref="L136:L137" si="117">$O$14</f>
        <v>46</v>
      </c>
      <c r="M136" s="32">
        <f t="shared" ref="M136:M137" si="118">K136*G136</f>
        <v>92.723400000000012</v>
      </c>
      <c r="N136" s="11">
        <f t="shared" ref="N136:N137" si="119">M136*L136</f>
        <v>4265.2764000000006</v>
      </c>
      <c r="O136" s="11">
        <f t="shared" ref="O136:O137" si="120">N136+J136</f>
        <v>13506.708600000004</v>
      </c>
      <c r="P136" s="54"/>
      <c r="Q136" s="39"/>
      <c r="R136" s="39"/>
      <c r="U136" s="41"/>
    </row>
    <row r="137" spans="1:21" s="40" customFormat="1">
      <c r="A137" s="33">
        <f>IF(H137&lt;&gt;"",1+MAX($A$5:A136),"")</f>
        <v>51</v>
      </c>
      <c r="B137" s="108"/>
      <c r="C137" s="69"/>
      <c r="D137" s="27" t="s">
        <v>35</v>
      </c>
      <c r="E137" s="35">
        <f>4*90.14</f>
        <v>360.56</v>
      </c>
      <c r="F137" s="36">
        <v>0.1</v>
      </c>
      <c r="G137" s="37">
        <f>(1+F137)*E137</f>
        <v>396.61600000000004</v>
      </c>
      <c r="H137" s="38" t="s">
        <v>3</v>
      </c>
      <c r="I137" s="19">
        <v>0.47250000000000003</v>
      </c>
      <c r="J137" s="19">
        <f t="shared" si="116"/>
        <v>187.40106000000003</v>
      </c>
      <c r="K137" s="31">
        <v>5.6700000000000006E-3</v>
      </c>
      <c r="L137" s="19">
        <f t="shared" si="117"/>
        <v>46</v>
      </c>
      <c r="M137" s="32">
        <f t="shared" si="118"/>
        <v>2.2488127200000005</v>
      </c>
      <c r="N137" s="11">
        <f t="shared" si="119"/>
        <v>103.44538512000003</v>
      </c>
      <c r="O137" s="11">
        <f t="shared" si="120"/>
        <v>290.84644512000006</v>
      </c>
      <c r="P137" s="54"/>
      <c r="Q137" s="39"/>
      <c r="R137" s="39"/>
      <c r="U137" s="41"/>
    </row>
    <row r="138" spans="1:21" s="40" customFormat="1">
      <c r="A138" s="33" t="str">
        <f>IF(H138&lt;&gt;"",1+MAX($A$5:A137),"")</f>
        <v/>
      </c>
      <c r="B138" s="108"/>
      <c r="C138" s="69"/>
      <c r="D138" s="27"/>
      <c r="E138" s="35"/>
      <c r="F138" s="36"/>
      <c r="G138" s="37"/>
      <c r="H138" s="38"/>
      <c r="I138" s="19"/>
      <c r="J138" s="19"/>
      <c r="K138" s="31"/>
      <c r="L138" s="19"/>
      <c r="M138" s="32"/>
      <c r="N138" s="11"/>
      <c r="O138" s="11"/>
      <c r="P138" s="54"/>
      <c r="Q138" s="39"/>
      <c r="R138" s="39"/>
      <c r="U138" s="41"/>
    </row>
    <row r="139" spans="1:21" s="40" customFormat="1">
      <c r="A139" s="33" t="str">
        <f>IF(H139&lt;&gt;"",1+MAX($A$5:A138),"")</f>
        <v/>
      </c>
      <c r="B139" s="108"/>
      <c r="C139" s="69"/>
      <c r="D139" s="94" t="s">
        <v>90</v>
      </c>
      <c r="E139" s="35"/>
      <c r="F139" s="36"/>
      <c r="G139" s="37"/>
      <c r="H139" s="38"/>
      <c r="I139" s="19"/>
      <c r="J139" s="19"/>
      <c r="K139" s="31"/>
      <c r="L139" s="19"/>
      <c r="M139" s="32"/>
      <c r="N139" s="11"/>
      <c r="O139" s="11"/>
      <c r="P139" s="54"/>
      <c r="Q139" s="39"/>
      <c r="R139" s="39"/>
      <c r="U139" s="41"/>
    </row>
    <row r="140" spans="1:21" s="40" customFormat="1">
      <c r="A140" s="33">
        <f>IF(H140&lt;&gt;"",1+MAX($A$5:A139),"")</f>
        <v>52</v>
      </c>
      <c r="B140" s="108"/>
      <c r="C140" s="69"/>
      <c r="D140" s="27" t="s">
        <v>44</v>
      </c>
      <c r="E140" s="35">
        <v>730</v>
      </c>
      <c r="F140" s="36">
        <v>0.1</v>
      </c>
      <c r="G140" s="37">
        <f>(1+F140)*E140</f>
        <v>803.00000000000011</v>
      </c>
      <c r="H140" s="38" t="s">
        <v>30</v>
      </c>
      <c r="I140" s="19">
        <v>0.65100000000000002</v>
      </c>
      <c r="J140" s="19">
        <f t="shared" ref="J140" si="121">I140*G140</f>
        <v>522.75300000000004</v>
      </c>
      <c r="K140" s="31">
        <v>2.52E-2</v>
      </c>
      <c r="L140" s="19">
        <f>$O$14</f>
        <v>46</v>
      </c>
      <c r="M140" s="32">
        <f t="shared" ref="M140" si="122">K140*G140</f>
        <v>20.235600000000002</v>
      </c>
      <c r="N140" s="11">
        <f t="shared" ref="N140" si="123">M140*L140</f>
        <v>930.83760000000007</v>
      </c>
      <c r="O140" s="11">
        <f t="shared" ref="O140" si="124">N140+J140</f>
        <v>1453.5906</v>
      </c>
      <c r="P140" s="54"/>
      <c r="Q140" s="39"/>
      <c r="R140" s="39"/>
      <c r="U140" s="41"/>
    </row>
    <row r="141" spans="1:21" s="40" customFormat="1">
      <c r="A141" s="33" t="str">
        <f>IF(H141&lt;&gt;"",1+MAX($A$5:A140),"")</f>
        <v/>
      </c>
      <c r="B141" s="108"/>
      <c r="C141" s="69"/>
      <c r="D141" s="95" t="s">
        <v>34</v>
      </c>
      <c r="E141" s="35">
        <f>ROUNDUP(G140/32,0)</f>
        <v>26</v>
      </c>
      <c r="F141" s="36"/>
      <c r="G141" s="37"/>
      <c r="H141" s="38"/>
      <c r="I141" s="19"/>
      <c r="J141" s="19"/>
      <c r="K141" s="31"/>
      <c r="L141" s="19"/>
      <c r="M141" s="32"/>
      <c r="N141" s="11"/>
      <c r="O141" s="11"/>
      <c r="P141" s="54"/>
      <c r="Q141" s="39"/>
      <c r="R141" s="39"/>
      <c r="U141" s="41"/>
    </row>
    <row r="142" spans="1:21" s="40" customFormat="1">
      <c r="A142" s="33" t="str">
        <f>IF(H142&lt;&gt;"",1+MAX($A$5:A141),"")</f>
        <v/>
      </c>
      <c r="B142" s="108"/>
      <c r="C142" s="69"/>
      <c r="D142" s="95" t="s">
        <v>31</v>
      </c>
      <c r="E142" s="35">
        <f>E141*48</f>
        <v>1248</v>
      </c>
      <c r="F142" s="36"/>
      <c r="G142" s="37"/>
      <c r="H142" s="38"/>
      <c r="I142" s="19"/>
      <c r="J142" s="19"/>
      <c r="K142" s="31"/>
      <c r="L142" s="19"/>
      <c r="M142" s="32"/>
      <c r="N142" s="11"/>
      <c r="O142" s="11"/>
      <c r="P142" s="54"/>
      <c r="Q142" s="39"/>
      <c r="R142" s="39"/>
      <c r="U142" s="41"/>
    </row>
    <row r="143" spans="1:21" s="40" customFormat="1">
      <c r="A143" s="33" t="str">
        <f>IF(H143&lt;&gt;"",1+MAX($A$5:A142),"")</f>
        <v/>
      </c>
      <c r="B143" s="108"/>
      <c r="C143" s="69"/>
      <c r="D143" s="95" t="s">
        <v>32</v>
      </c>
      <c r="E143" s="35">
        <f>E141</f>
        <v>26</v>
      </c>
      <c r="F143" s="36"/>
      <c r="G143" s="37"/>
      <c r="H143" s="38"/>
      <c r="I143" s="19"/>
      <c r="J143" s="19"/>
      <c r="K143" s="31"/>
      <c r="L143" s="19"/>
      <c r="M143" s="32"/>
      <c r="N143" s="11"/>
      <c r="O143" s="11"/>
      <c r="P143" s="54"/>
      <c r="Q143" s="39"/>
      <c r="R143" s="39"/>
      <c r="U143" s="41"/>
    </row>
    <row r="144" spans="1:21" s="40" customFormat="1">
      <c r="A144" s="33" t="str">
        <f>IF(H144&lt;&gt;"",1+MAX($A$5:A143),"")</f>
        <v/>
      </c>
      <c r="B144" s="108"/>
      <c r="C144" s="69"/>
      <c r="D144" s="95" t="s">
        <v>33</v>
      </c>
      <c r="E144" s="35">
        <f>E141*14</f>
        <v>364</v>
      </c>
      <c r="F144" s="36"/>
      <c r="G144" s="37"/>
      <c r="H144" s="38"/>
      <c r="I144" s="19"/>
      <c r="J144" s="19"/>
      <c r="K144" s="31"/>
      <c r="L144" s="19"/>
      <c r="M144" s="32"/>
      <c r="N144" s="11"/>
      <c r="O144" s="11"/>
      <c r="P144" s="54"/>
      <c r="Q144" s="39"/>
      <c r="R144" s="39"/>
      <c r="U144" s="41"/>
    </row>
    <row r="145" spans="1:21" s="40" customFormat="1">
      <c r="A145" s="33">
        <f>IF(H145&lt;&gt;"",1+MAX($A$5:A144),"")</f>
        <v>53</v>
      </c>
      <c r="B145" s="108"/>
      <c r="C145" s="69"/>
      <c r="D145" s="27" t="s">
        <v>91</v>
      </c>
      <c r="E145" s="35">
        <f>E140/2</f>
        <v>365</v>
      </c>
      <c r="F145" s="36">
        <v>0.1</v>
      </c>
      <c r="G145" s="37">
        <f>(1+F145)*E145</f>
        <v>401.50000000000006</v>
      </c>
      <c r="H145" s="38" t="s">
        <v>30</v>
      </c>
      <c r="I145" s="19">
        <v>3.3600000000000003</v>
      </c>
      <c r="J145" s="19">
        <f t="shared" ref="J145:J147" si="125">I145*G145</f>
        <v>1349.0400000000004</v>
      </c>
      <c r="K145" s="31">
        <v>3.5700000000000003E-2</v>
      </c>
      <c r="L145" s="19">
        <f t="shared" ref="L145:L147" si="126">$O$14</f>
        <v>46</v>
      </c>
      <c r="M145" s="32">
        <f t="shared" ref="M145:M147" si="127">K145*G145</f>
        <v>14.333550000000002</v>
      </c>
      <c r="N145" s="11">
        <f t="shared" ref="N145:N147" si="128">M145*L145</f>
        <v>659.34330000000011</v>
      </c>
      <c r="O145" s="11">
        <f t="shared" ref="O145:O147" si="129">N145+J145</f>
        <v>2008.3833000000004</v>
      </c>
      <c r="P145" s="54"/>
      <c r="Q145" s="39"/>
      <c r="R145" s="39"/>
      <c r="U145" s="41"/>
    </row>
    <row r="146" spans="1:21" s="40" customFormat="1">
      <c r="A146" s="33">
        <f>IF(H146&lt;&gt;"",1+MAX($A$5:A145),"")</f>
        <v>54</v>
      </c>
      <c r="B146" s="108"/>
      <c r="C146" s="69"/>
      <c r="D146" s="27" t="s">
        <v>92</v>
      </c>
      <c r="E146" s="35">
        <f>E140/2</f>
        <v>365</v>
      </c>
      <c r="F146" s="36">
        <v>0.1</v>
      </c>
      <c r="G146" s="37">
        <f>(1+F146)*E146</f>
        <v>401.50000000000006</v>
      </c>
      <c r="H146" s="38" t="s">
        <v>30</v>
      </c>
      <c r="I146" s="19">
        <v>4.0215000000000005</v>
      </c>
      <c r="J146" s="19">
        <f t="shared" si="125"/>
        <v>1614.6322500000003</v>
      </c>
      <c r="K146" s="31">
        <v>4.2000000000000003E-2</v>
      </c>
      <c r="L146" s="19">
        <f t="shared" si="126"/>
        <v>46</v>
      </c>
      <c r="M146" s="32">
        <f t="shared" si="127"/>
        <v>16.863000000000003</v>
      </c>
      <c r="N146" s="11">
        <f t="shared" si="128"/>
        <v>775.69800000000009</v>
      </c>
      <c r="O146" s="11">
        <f t="shared" si="129"/>
        <v>2390.3302500000004</v>
      </c>
      <c r="P146" s="54"/>
      <c r="Q146" s="39"/>
      <c r="R146" s="39"/>
      <c r="U146" s="41"/>
    </row>
    <row r="147" spans="1:21" s="40" customFormat="1">
      <c r="A147" s="33">
        <f>IF(H147&lt;&gt;"",1+MAX($A$5:A146),"")</f>
        <v>55</v>
      </c>
      <c r="B147" s="108"/>
      <c r="C147" s="69"/>
      <c r="D147" s="27" t="s">
        <v>35</v>
      </c>
      <c r="E147" s="35">
        <f>2*52.35</f>
        <v>104.7</v>
      </c>
      <c r="F147" s="36">
        <v>0.1</v>
      </c>
      <c r="G147" s="37">
        <f>(1+F147)*E147</f>
        <v>115.17000000000002</v>
      </c>
      <c r="H147" s="38" t="s">
        <v>3</v>
      </c>
      <c r="I147" s="19">
        <v>0.47250000000000003</v>
      </c>
      <c r="J147" s="19">
        <f t="shared" si="125"/>
        <v>54.417825000000008</v>
      </c>
      <c r="K147" s="31">
        <v>5.6700000000000006E-3</v>
      </c>
      <c r="L147" s="19">
        <f t="shared" si="126"/>
        <v>46</v>
      </c>
      <c r="M147" s="32">
        <f t="shared" si="127"/>
        <v>0.65301390000000015</v>
      </c>
      <c r="N147" s="11">
        <f t="shared" si="128"/>
        <v>30.038639400000008</v>
      </c>
      <c r="O147" s="11">
        <f t="shared" si="129"/>
        <v>84.456464400000016</v>
      </c>
      <c r="P147" s="54"/>
      <c r="Q147" s="39"/>
      <c r="R147" s="39"/>
      <c r="U147" s="41"/>
    </row>
    <row r="148" spans="1:21" s="40" customFormat="1">
      <c r="A148" s="33" t="str">
        <f>IF(H148&lt;&gt;"",1+MAX($A$5:A147),"")</f>
        <v/>
      </c>
      <c r="B148" s="108"/>
      <c r="C148" s="69"/>
      <c r="D148" s="27"/>
      <c r="E148" s="35"/>
      <c r="F148" s="36"/>
      <c r="G148" s="37"/>
      <c r="H148" s="38"/>
      <c r="I148" s="19"/>
      <c r="J148" s="19"/>
      <c r="K148" s="31"/>
      <c r="L148" s="19"/>
      <c r="M148" s="32"/>
      <c r="N148" s="11"/>
      <c r="O148" s="11"/>
      <c r="P148" s="54"/>
      <c r="Q148" s="39"/>
      <c r="R148" s="39"/>
      <c r="U148" s="41"/>
    </row>
    <row r="149" spans="1:21" s="40" customFormat="1">
      <c r="A149" s="33" t="str">
        <f>IF(H149&lt;&gt;"",1+MAX($A$5:A148),"")</f>
        <v/>
      </c>
      <c r="B149" s="108"/>
      <c r="C149" s="69"/>
      <c r="D149" s="94" t="s">
        <v>93</v>
      </c>
      <c r="E149" s="35"/>
      <c r="F149" s="36"/>
      <c r="G149" s="37"/>
      <c r="H149" s="38"/>
      <c r="I149" s="19"/>
      <c r="J149" s="19"/>
      <c r="K149" s="31"/>
      <c r="L149" s="19"/>
      <c r="M149" s="32"/>
      <c r="N149" s="11"/>
      <c r="O149" s="11"/>
      <c r="P149" s="54"/>
      <c r="Q149" s="39"/>
      <c r="R149" s="39"/>
      <c r="U149" s="41"/>
    </row>
    <row r="150" spans="1:21" s="40" customFormat="1">
      <c r="A150" s="33">
        <f>IF(H150&lt;&gt;"",1+MAX($A$5:A149),"")</f>
        <v>56</v>
      </c>
      <c r="B150" s="108"/>
      <c r="C150" s="69"/>
      <c r="D150" s="27" t="s">
        <v>94</v>
      </c>
      <c r="E150" s="35">
        <v>545.89350000000002</v>
      </c>
      <c r="F150" s="36">
        <v>0.1</v>
      </c>
      <c r="G150" s="37">
        <f>(1+F150)*E150</f>
        <v>600.4828500000001</v>
      </c>
      <c r="H150" s="38" t="s">
        <v>30</v>
      </c>
      <c r="I150" s="19">
        <v>5.2709999999999999</v>
      </c>
      <c r="J150" s="19">
        <f t="shared" ref="J150:J151" si="130">I150*G150</f>
        <v>3165.1451023500003</v>
      </c>
      <c r="K150" s="31">
        <v>5.2500000000000005E-2</v>
      </c>
      <c r="L150" s="19">
        <f t="shared" ref="L150" si="131">$O$14</f>
        <v>46</v>
      </c>
      <c r="M150" s="32">
        <f t="shared" ref="M150:M151" si="132">K150*G150</f>
        <v>31.525349625000008</v>
      </c>
      <c r="N150" s="11">
        <f t="shared" ref="N150:N151" si="133">M150*L150</f>
        <v>1450.1660827500004</v>
      </c>
      <c r="O150" s="11">
        <f t="shared" ref="O150:O151" si="134">N150+J150</f>
        <v>4615.3111851000012</v>
      </c>
      <c r="P150" s="54"/>
      <c r="Q150" s="39"/>
      <c r="R150" s="39"/>
      <c r="U150" s="41"/>
    </row>
    <row r="151" spans="1:21" s="40" customFormat="1">
      <c r="A151" s="33">
        <f>IF(H151&lt;&gt;"",1+MAX($A$5:A150),"")</f>
        <v>57</v>
      </c>
      <c r="B151" s="108"/>
      <c r="C151" s="69"/>
      <c r="D151" s="27" t="s">
        <v>62</v>
      </c>
      <c r="E151" s="35">
        <v>1074.9834000000001</v>
      </c>
      <c r="F151" s="36">
        <v>0.1</v>
      </c>
      <c r="G151" s="37">
        <f>(1+F151)*E151</f>
        <v>1182.4817400000002</v>
      </c>
      <c r="H151" s="38" t="s">
        <v>30</v>
      </c>
      <c r="I151" s="19">
        <v>0.99119999999999997</v>
      </c>
      <c r="J151" s="19">
        <f t="shared" si="130"/>
        <v>1172.075900688</v>
      </c>
      <c r="K151" s="31">
        <v>2.5620000000000004E-2</v>
      </c>
      <c r="L151" s="19">
        <f t="shared" ref="L151" si="135">$O$14</f>
        <v>46</v>
      </c>
      <c r="M151" s="32">
        <f t="shared" si="132"/>
        <v>30.295182178800008</v>
      </c>
      <c r="N151" s="11">
        <f t="shared" si="133"/>
        <v>1393.5783802248004</v>
      </c>
      <c r="O151" s="11">
        <f t="shared" si="134"/>
        <v>2565.6542809128005</v>
      </c>
      <c r="P151" s="54"/>
      <c r="Q151" s="39"/>
      <c r="R151" s="39"/>
      <c r="U151" s="41"/>
    </row>
    <row r="152" spans="1:21" s="40" customFormat="1">
      <c r="A152" s="33" t="str">
        <f>IF(H152&lt;&gt;"",1+MAX($A$5:A151),"")</f>
        <v/>
      </c>
      <c r="B152" s="108"/>
      <c r="C152" s="69"/>
      <c r="D152" s="95" t="s">
        <v>34</v>
      </c>
      <c r="E152" s="35">
        <f>ROUNDUP(G151/32,0)</f>
        <v>37</v>
      </c>
      <c r="F152" s="36"/>
      <c r="G152" s="37"/>
      <c r="H152" s="38"/>
      <c r="I152" s="19"/>
      <c r="J152" s="19"/>
      <c r="K152" s="31"/>
      <c r="L152" s="19"/>
      <c r="M152" s="32"/>
      <c r="N152" s="11"/>
      <c r="O152" s="11"/>
      <c r="P152" s="54"/>
      <c r="Q152" s="39"/>
      <c r="R152" s="39"/>
      <c r="U152" s="41"/>
    </row>
    <row r="153" spans="1:21" s="40" customFormat="1">
      <c r="A153" s="33" t="str">
        <f>IF(H153&lt;&gt;"",1+MAX($A$5:A152),"")</f>
        <v/>
      </c>
      <c r="B153" s="108"/>
      <c r="C153" s="69"/>
      <c r="D153" s="95" t="s">
        <v>31</v>
      </c>
      <c r="E153" s="35">
        <f>E152*48</f>
        <v>1776</v>
      </c>
      <c r="F153" s="36"/>
      <c r="G153" s="37"/>
      <c r="H153" s="38"/>
      <c r="I153" s="19"/>
      <c r="J153" s="19"/>
      <c r="K153" s="31"/>
      <c r="L153" s="19"/>
      <c r="M153" s="32"/>
      <c r="N153" s="11"/>
      <c r="O153" s="11"/>
      <c r="P153" s="54"/>
      <c r="Q153" s="39"/>
      <c r="R153" s="39"/>
      <c r="U153" s="41"/>
    </row>
    <row r="154" spans="1:21" s="40" customFormat="1">
      <c r="A154" s="33" t="str">
        <f>IF(H154&lt;&gt;"",1+MAX($A$5:A153),"")</f>
        <v/>
      </c>
      <c r="B154" s="108"/>
      <c r="C154" s="69"/>
      <c r="D154" s="95" t="s">
        <v>32</v>
      </c>
      <c r="E154" s="35">
        <f>E152</f>
        <v>37</v>
      </c>
      <c r="F154" s="36"/>
      <c r="G154" s="37"/>
      <c r="H154" s="38"/>
      <c r="I154" s="19"/>
      <c r="J154" s="19"/>
      <c r="K154" s="31"/>
      <c r="L154" s="19"/>
      <c r="M154" s="32"/>
      <c r="N154" s="11"/>
      <c r="O154" s="11"/>
      <c r="P154" s="54"/>
      <c r="Q154" s="39"/>
      <c r="R154" s="39"/>
      <c r="U154" s="41"/>
    </row>
    <row r="155" spans="1:21" s="40" customFormat="1">
      <c r="A155" s="33" t="str">
        <f>IF(H155&lt;&gt;"",1+MAX($A$5:A154),"")</f>
        <v/>
      </c>
      <c r="B155" s="108"/>
      <c r="C155" s="69"/>
      <c r="D155" s="95" t="s">
        <v>33</v>
      </c>
      <c r="E155" s="35">
        <f>E152*14</f>
        <v>518</v>
      </c>
      <c r="F155" s="36"/>
      <c r="G155" s="37"/>
      <c r="H155" s="38"/>
      <c r="I155" s="19"/>
      <c r="J155" s="19"/>
      <c r="K155" s="31"/>
      <c r="L155" s="19"/>
      <c r="M155" s="32"/>
      <c r="N155" s="11"/>
      <c r="O155" s="11"/>
      <c r="P155" s="54"/>
      <c r="Q155" s="39"/>
      <c r="R155" s="39"/>
      <c r="U155" s="41"/>
    </row>
    <row r="156" spans="1:21" s="40" customFormat="1">
      <c r="A156" s="33">
        <f>IF(H156&lt;&gt;"",1+MAX($A$5:A155),"")</f>
        <v>58</v>
      </c>
      <c r="B156" s="108"/>
      <c r="C156" s="69"/>
      <c r="D156" s="27" t="s">
        <v>95</v>
      </c>
      <c r="E156" s="35">
        <v>136.55549999999999</v>
      </c>
      <c r="F156" s="36">
        <v>0.1</v>
      </c>
      <c r="G156" s="37">
        <f>(1+F156)*E156</f>
        <v>150.21105</v>
      </c>
      <c r="H156" s="38" t="s">
        <v>30</v>
      </c>
      <c r="I156" s="19">
        <v>1.4909999999999999</v>
      </c>
      <c r="J156" s="19">
        <f t="shared" ref="J156" si="136">I156*G156</f>
        <v>223.96467554999998</v>
      </c>
      <c r="K156" s="31">
        <v>3.15E-2</v>
      </c>
      <c r="L156" s="19">
        <f>$O$14</f>
        <v>46</v>
      </c>
      <c r="M156" s="32">
        <f t="shared" ref="M156" si="137">K156*G156</f>
        <v>4.7316480749999998</v>
      </c>
      <c r="N156" s="11">
        <f t="shared" ref="N156" si="138">M156*L156</f>
        <v>217.65581144999999</v>
      </c>
      <c r="O156" s="11">
        <f t="shared" ref="O156" si="139">N156+J156</f>
        <v>441.62048699999997</v>
      </c>
      <c r="P156" s="54"/>
      <c r="Q156" s="39"/>
      <c r="R156" s="39"/>
      <c r="U156" s="41"/>
    </row>
    <row r="157" spans="1:21" s="40" customFormat="1">
      <c r="A157" s="33" t="str">
        <f>IF(H157&lt;&gt;"",1+MAX($A$5:A156),"")</f>
        <v/>
      </c>
      <c r="B157" s="108"/>
      <c r="C157" s="69"/>
      <c r="D157" s="95" t="s">
        <v>34</v>
      </c>
      <c r="E157" s="35">
        <f>ROUNDUP(G156/32,0)</f>
        <v>5</v>
      </c>
      <c r="F157" s="36"/>
      <c r="G157" s="37"/>
      <c r="H157" s="38"/>
      <c r="I157" s="19"/>
      <c r="J157" s="19"/>
      <c r="K157" s="31"/>
      <c r="L157" s="19"/>
      <c r="M157" s="32"/>
      <c r="N157" s="11"/>
      <c r="O157" s="11"/>
      <c r="P157" s="54"/>
      <c r="Q157" s="39"/>
      <c r="R157" s="39"/>
      <c r="U157" s="41"/>
    </row>
    <row r="158" spans="1:21" s="40" customFormat="1">
      <c r="A158" s="33" t="str">
        <f>IF(H158&lt;&gt;"",1+MAX($A$5:A157),"")</f>
        <v/>
      </c>
      <c r="B158" s="108"/>
      <c r="C158" s="69"/>
      <c r="D158" s="95" t="s">
        <v>31</v>
      </c>
      <c r="E158" s="35">
        <f>E157*48</f>
        <v>240</v>
      </c>
      <c r="F158" s="36"/>
      <c r="G158" s="37"/>
      <c r="H158" s="38"/>
      <c r="I158" s="19"/>
      <c r="J158" s="19"/>
      <c r="K158" s="31"/>
      <c r="L158" s="19"/>
      <c r="M158" s="32"/>
      <c r="N158" s="11"/>
      <c r="O158" s="11"/>
      <c r="P158" s="54"/>
      <c r="Q158" s="39"/>
      <c r="R158" s="39"/>
      <c r="U158" s="41"/>
    </row>
    <row r="159" spans="1:21" s="40" customFormat="1">
      <c r="A159" s="33" t="str">
        <f>IF(H159&lt;&gt;"",1+MAX($A$5:A158),"")</f>
        <v/>
      </c>
      <c r="B159" s="108"/>
      <c r="C159" s="69"/>
      <c r="D159" s="95" t="s">
        <v>32</v>
      </c>
      <c r="E159" s="35">
        <f>E157</f>
        <v>5</v>
      </c>
      <c r="F159" s="36"/>
      <c r="G159" s="37"/>
      <c r="H159" s="38"/>
      <c r="I159" s="19"/>
      <c r="J159" s="19"/>
      <c r="K159" s="31"/>
      <c r="L159" s="19"/>
      <c r="M159" s="32"/>
      <c r="N159" s="11"/>
      <c r="O159" s="11"/>
      <c r="P159" s="54"/>
      <c r="Q159" s="39"/>
      <c r="R159" s="39"/>
      <c r="U159" s="41"/>
    </row>
    <row r="160" spans="1:21" s="40" customFormat="1">
      <c r="A160" s="33" t="str">
        <f>IF(H160&lt;&gt;"",1+MAX($A$5:A159),"")</f>
        <v/>
      </c>
      <c r="B160" s="108"/>
      <c r="C160" s="69"/>
      <c r="D160" s="95" t="s">
        <v>33</v>
      </c>
      <c r="E160" s="35">
        <f>E157*14</f>
        <v>70</v>
      </c>
      <c r="F160" s="36"/>
      <c r="G160" s="37"/>
      <c r="H160" s="38"/>
      <c r="I160" s="19"/>
      <c r="J160" s="19"/>
      <c r="K160" s="31"/>
      <c r="L160" s="19"/>
      <c r="M160" s="32"/>
      <c r="N160" s="11"/>
      <c r="O160" s="11"/>
      <c r="P160" s="54"/>
      <c r="Q160" s="39"/>
      <c r="R160" s="39"/>
      <c r="U160" s="41"/>
    </row>
    <row r="161" spans="1:21" s="40" customFormat="1">
      <c r="A161" s="33">
        <f>IF(H161&lt;&gt;"",1+MAX($A$5:A160),"")</f>
        <v>59</v>
      </c>
      <c r="B161" s="108"/>
      <c r="C161" s="69"/>
      <c r="D161" s="27" t="s">
        <v>96</v>
      </c>
      <c r="E161" s="35">
        <v>409.33800000000002</v>
      </c>
      <c r="F161" s="36">
        <v>0.1</v>
      </c>
      <c r="G161" s="37">
        <f>(1+F161)*E161</f>
        <v>450.27180000000004</v>
      </c>
      <c r="H161" s="38" t="s">
        <v>30</v>
      </c>
      <c r="I161" s="19">
        <v>1.4909999999999999</v>
      </c>
      <c r="J161" s="19">
        <f t="shared" ref="J161" si="140">I161*G161</f>
        <v>671.35525380000001</v>
      </c>
      <c r="K161" s="31">
        <v>3.15E-2</v>
      </c>
      <c r="L161" s="19">
        <f>$O$14</f>
        <v>46</v>
      </c>
      <c r="M161" s="32">
        <f t="shared" ref="M161" si="141">K161*G161</f>
        <v>14.183561700000002</v>
      </c>
      <c r="N161" s="11">
        <f t="shared" ref="N161" si="142">M161*L161</f>
        <v>652.44383820000007</v>
      </c>
      <c r="O161" s="11">
        <f t="shared" ref="O161" si="143">N161+J161</f>
        <v>1323.7990920000002</v>
      </c>
      <c r="P161" s="54"/>
      <c r="Q161" s="39"/>
      <c r="R161" s="39"/>
      <c r="U161" s="41"/>
    </row>
    <row r="162" spans="1:21" s="40" customFormat="1">
      <c r="A162" s="33" t="str">
        <f>IF(H162&lt;&gt;"",1+MAX($A$5:A161),"")</f>
        <v/>
      </c>
      <c r="B162" s="108"/>
      <c r="C162" s="69"/>
      <c r="D162" s="95" t="s">
        <v>34</v>
      </c>
      <c r="E162" s="35">
        <f>ROUNDUP(G161/32,0)</f>
        <v>15</v>
      </c>
      <c r="F162" s="36"/>
      <c r="G162" s="37"/>
      <c r="H162" s="38"/>
      <c r="I162" s="19"/>
      <c r="J162" s="19"/>
      <c r="K162" s="31"/>
      <c r="L162" s="19"/>
      <c r="M162" s="32"/>
      <c r="N162" s="11"/>
      <c r="O162" s="11"/>
      <c r="P162" s="54"/>
      <c r="Q162" s="39"/>
      <c r="R162" s="39"/>
      <c r="U162" s="41"/>
    </row>
    <row r="163" spans="1:21" s="40" customFormat="1">
      <c r="A163" s="33" t="str">
        <f>IF(H163&lt;&gt;"",1+MAX($A$5:A162),"")</f>
        <v/>
      </c>
      <c r="B163" s="108"/>
      <c r="C163" s="69"/>
      <c r="D163" s="95" t="s">
        <v>31</v>
      </c>
      <c r="E163" s="35">
        <f>E162*48</f>
        <v>720</v>
      </c>
      <c r="F163" s="36"/>
      <c r="G163" s="37"/>
      <c r="H163" s="38"/>
      <c r="I163" s="19"/>
      <c r="J163" s="19"/>
      <c r="K163" s="31"/>
      <c r="L163" s="19"/>
      <c r="M163" s="32"/>
      <c r="N163" s="11"/>
      <c r="O163" s="11"/>
      <c r="P163" s="54"/>
      <c r="Q163" s="39"/>
      <c r="R163" s="39"/>
      <c r="U163" s="41"/>
    </row>
    <row r="164" spans="1:21" s="40" customFormat="1">
      <c r="A164" s="33" t="str">
        <f>IF(H164&lt;&gt;"",1+MAX($A$5:A163),"")</f>
        <v/>
      </c>
      <c r="B164" s="108"/>
      <c r="C164" s="69"/>
      <c r="D164" s="95" t="s">
        <v>32</v>
      </c>
      <c r="E164" s="35">
        <f>E162</f>
        <v>15</v>
      </c>
      <c r="F164" s="36"/>
      <c r="G164" s="37"/>
      <c r="H164" s="38"/>
      <c r="I164" s="19"/>
      <c r="J164" s="19"/>
      <c r="K164" s="31"/>
      <c r="L164" s="19"/>
      <c r="M164" s="32"/>
      <c r="N164" s="11"/>
      <c r="O164" s="11"/>
      <c r="P164" s="54"/>
      <c r="Q164" s="39"/>
      <c r="R164" s="39"/>
      <c r="U164" s="41"/>
    </row>
    <row r="165" spans="1:21" s="40" customFormat="1">
      <c r="A165" s="33" t="str">
        <f>IF(H165&lt;&gt;"",1+MAX($A$5:A164),"")</f>
        <v/>
      </c>
      <c r="B165" s="108"/>
      <c r="C165" s="69"/>
      <c r="D165" s="95" t="s">
        <v>33</v>
      </c>
      <c r="E165" s="35">
        <f>E162*14</f>
        <v>210</v>
      </c>
      <c r="F165" s="36"/>
      <c r="G165" s="37"/>
      <c r="H165" s="38"/>
      <c r="I165" s="19"/>
      <c r="J165" s="19"/>
      <c r="K165" s="31"/>
      <c r="L165" s="19"/>
      <c r="M165" s="32"/>
      <c r="N165" s="11"/>
      <c r="O165" s="11"/>
      <c r="P165" s="54"/>
      <c r="Q165" s="39"/>
      <c r="R165" s="39"/>
      <c r="U165" s="41"/>
    </row>
    <row r="166" spans="1:21" s="40" customFormat="1">
      <c r="A166" s="33">
        <f>IF(H166&lt;&gt;"",1+MAX($A$5:A165),"")</f>
        <v>60</v>
      </c>
      <c r="B166" s="108"/>
      <c r="C166" s="69"/>
      <c r="D166" s="27" t="s">
        <v>97</v>
      </c>
      <c r="E166" s="35">
        <v>93.775000000000006</v>
      </c>
      <c r="F166" s="36">
        <v>0.1</v>
      </c>
      <c r="G166" s="37">
        <f>(1+F166)*E166</f>
        <v>103.15250000000002</v>
      </c>
      <c r="H166" s="38" t="s">
        <v>30</v>
      </c>
      <c r="I166" s="19">
        <v>2.52</v>
      </c>
      <c r="J166" s="19">
        <f t="shared" ref="J166:J169" si="144">I166*G166</f>
        <v>259.94430000000006</v>
      </c>
      <c r="K166" s="31">
        <v>3.15E-2</v>
      </c>
      <c r="L166" s="19">
        <f t="shared" ref="L166:L169" si="145">$O$14</f>
        <v>46</v>
      </c>
      <c r="M166" s="32">
        <f t="shared" ref="M166:M169" si="146">K166*G166</f>
        <v>3.2493037500000006</v>
      </c>
      <c r="N166" s="11">
        <f t="shared" ref="N166:N169" si="147">M166*L166</f>
        <v>149.46797250000003</v>
      </c>
      <c r="O166" s="11">
        <f t="shared" ref="O166:O169" si="148">N166+J166</f>
        <v>409.41227250000009</v>
      </c>
      <c r="P166" s="54"/>
      <c r="Q166" s="39"/>
      <c r="R166" s="39"/>
      <c r="U166" s="41"/>
    </row>
    <row r="167" spans="1:21" s="40" customFormat="1">
      <c r="A167" s="33">
        <f>IF(H167&lt;&gt;"",1+MAX($A$5:A166),"")</f>
        <v>61</v>
      </c>
      <c r="B167" s="108"/>
      <c r="C167" s="69"/>
      <c r="D167" s="27" t="s">
        <v>98</v>
      </c>
      <c r="E167" s="35">
        <f>698.4263+1574.5869</f>
        <v>2273.0131999999999</v>
      </c>
      <c r="F167" s="36">
        <v>0.1</v>
      </c>
      <c r="G167" s="37">
        <f>(1+F167)*E167</f>
        <v>2500.3145199999999</v>
      </c>
      <c r="H167" s="38" t="s">
        <v>30</v>
      </c>
      <c r="I167" s="19">
        <v>4.0215000000000005</v>
      </c>
      <c r="J167" s="19">
        <f t="shared" si="144"/>
        <v>10055.01484218</v>
      </c>
      <c r="K167" s="31">
        <v>4.2000000000000003E-2</v>
      </c>
      <c r="L167" s="19">
        <f t="shared" si="145"/>
        <v>46</v>
      </c>
      <c r="M167" s="32">
        <f t="shared" si="146"/>
        <v>105.01320984</v>
      </c>
      <c r="N167" s="11">
        <f t="shared" si="147"/>
        <v>4830.6076526400002</v>
      </c>
      <c r="O167" s="11">
        <f t="shared" si="148"/>
        <v>14885.62249482</v>
      </c>
      <c r="P167" s="54"/>
      <c r="Q167" s="39"/>
      <c r="R167" s="39"/>
      <c r="U167" s="41"/>
    </row>
    <row r="168" spans="1:21" s="40" customFormat="1">
      <c r="A168" s="33">
        <f>IF(H168&lt;&gt;"",1+MAX($A$5:A167),"")</f>
        <v>62</v>
      </c>
      <c r="B168" s="108"/>
      <c r="C168" s="69"/>
      <c r="D168" s="27" t="s">
        <v>35</v>
      </c>
      <c r="E168" s="35">
        <f>4*75.02</f>
        <v>300.08</v>
      </c>
      <c r="F168" s="36">
        <v>0.1</v>
      </c>
      <c r="G168" s="37">
        <f>(1+F168)*E168</f>
        <v>330.08800000000002</v>
      </c>
      <c r="H168" s="38" t="s">
        <v>3</v>
      </c>
      <c r="I168" s="19">
        <v>0.47250000000000003</v>
      </c>
      <c r="J168" s="19">
        <f t="shared" si="144"/>
        <v>155.96658000000002</v>
      </c>
      <c r="K168" s="31">
        <v>5.6700000000000006E-3</v>
      </c>
      <c r="L168" s="19">
        <f t="shared" si="145"/>
        <v>46</v>
      </c>
      <c r="M168" s="32">
        <f t="shared" si="146"/>
        <v>1.8715989600000003</v>
      </c>
      <c r="N168" s="11">
        <f t="shared" si="147"/>
        <v>86.093552160000016</v>
      </c>
      <c r="O168" s="11">
        <f t="shared" si="148"/>
        <v>242.06013216000002</v>
      </c>
      <c r="P168" s="54"/>
      <c r="Q168" s="39"/>
      <c r="R168" s="39"/>
      <c r="U168" s="41"/>
    </row>
    <row r="169" spans="1:21" s="40" customFormat="1">
      <c r="A169" s="33">
        <f>IF(H169&lt;&gt;"",1+MAX($A$5:A168),"")</f>
        <v>63</v>
      </c>
      <c r="B169" s="108"/>
      <c r="C169" s="69"/>
      <c r="D169" s="27" t="s">
        <v>43</v>
      </c>
      <c r="E169" s="35">
        <v>75.02</v>
      </c>
      <c r="F169" s="36">
        <v>0.1</v>
      </c>
      <c r="G169" s="37">
        <f>(1+F169)*E169</f>
        <v>82.522000000000006</v>
      </c>
      <c r="H169" s="38" t="s">
        <v>3</v>
      </c>
      <c r="I169" s="19">
        <v>3.1500000000000004</v>
      </c>
      <c r="J169" s="19">
        <f t="shared" si="144"/>
        <v>259.94430000000006</v>
      </c>
      <c r="K169" s="31">
        <v>3.15E-2</v>
      </c>
      <c r="L169" s="19">
        <f t="shared" si="145"/>
        <v>46</v>
      </c>
      <c r="M169" s="32">
        <f t="shared" si="146"/>
        <v>2.5994430000000004</v>
      </c>
      <c r="N169" s="11">
        <f t="shared" si="147"/>
        <v>119.57437800000002</v>
      </c>
      <c r="O169" s="11">
        <f t="shared" si="148"/>
        <v>379.51867800000008</v>
      </c>
      <c r="P169" s="54"/>
      <c r="Q169" s="39"/>
      <c r="R169" s="39"/>
      <c r="U169" s="41"/>
    </row>
    <row r="170" spans="1:21" s="40" customFormat="1">
      <c r="A170" s="33" t="str">
        <f>IF(H170&lt;&gt;"",1+MAX($A$5:A169),"")</f>
        <v/>
      </c>
      <c r="B170" s="108"/>
      <c r="C170" s="69"/>
      <c r="D170" s="27"/>
      <c r="E170" s="35"/>
      <c r="F170" s="36"/>
      <c r="G170" s="37"/>
      <c r="H170" s="38"/>
      <c r="I170" s="19"/>
      <c r="J170" s="19"/>
      <c r="K170" s="31"/>
      <c r="L170" s="19"/>
      <c r="M170" s="32"/>
      <c r="N170" s="11"/>
      <c r="O170" s="11"/>
      <c r="P170" s="54"/>
      <c r="Q170" s="39"/>
      <c r="R170" s="39"/>
      <c r="U170" s="41"/>
    </row>
    <row r="171" spans="1:21" s="40" customFormat="1">
      <c r="A171" s="33" t="str">
        <f>IF(H171&lt;&gt;"",1+MAX($A$5:A170),"")</f>
        <v/>
      </c>
      <c r="B171" s="108"/>
      <c r="C171" s="69"/>
      <c r="D171" s="75" t="s">
        <v>99</v>
      </c>
      <c r="E171" s="35"/>
      <c r="F171" s="36"/>
      <c r="G171" s="37"/>
      <c r="H171" s="38"/>
      <c r="I171" s="19"/>
      <c r="J171" s="19"/>
      <c r="K171" s="31"/>
      <c r="L171" s="19"/>
      <c r="M171" s="32"/>
      <c r="N171" s="11"/>
      <c r="O171" s="11"/>
      <c r="P171" s="54"/>
      <c r="Q171" s="39"/>
      <c r="R171" s="39"/>
      <c r="U171" s="41"/>
    </row>
    <row r="172" spans="1:21" s="40" customFormat="1">
      <c r="A172" s="33" t="str">
        <f>IF(H172&lt;&gt;"",1+MAX($A$5:A171),"")</f>
        <v/>
      </c>
      <c r="B172" s="108"/>
      <c r="C172" s="69"/>
      <c r="D172" s="94" t="s">
        <v>100</v>
      </c>
      <c r="E172" s="35"/>
      <c r="F172" s="36"/>
      <c r="G172" s="37"/>
      <c r="H172" s="38"/>
      <c r="I172" s="19"/>
      <c r="J172" s="19"/>
      <c r="K172" s="31"/>
      <c r="L172" s="19"/>
      <c r="M172" s="32"/>
      <c r="N172" s="11"/>
      <c r="O172" s="11"/>
      <c r="P172" s="54"/>
      <c r="Q172" s="39"/>
      <c r="R172" s="39"/>
      <c r="U172" s="41"/>
    </row>
    <row r="173" spans="1:21" s="40" customFormat="1">
      <c r="A173" s="33">
        <f>IF(H173&lt;&gt;"",1+MAX($A$5:A172),"")</f>
        <v>64</v>
      </c>
      <c r="B173" s="108"/>
      <c r="C173" s="69"/>
      <c r="D173" s="27" t="s">
        <v>101</v>
      </c>
      <c r="E173" s="35">
        <v>281</v>
      </c>
      <c r="F173" s="36">
        <v>0.1</v>
      </c>
      <c r="G173" s="37">
        <f>(1+F173)*E173</f>
        <v>309.10000000000002</v>
      </c>
      <c r="H173" s="38" t="s">
        <v>30</v>
      </c>
      <c r="I173" s="19">
        <v>2.3520000000000003</v>
      </c>
      <c r="J173" s="19">
        <f t="shared" ref="J173" si="149">I173*G173</f>
        <v>727.00320000000011</v>
      </c>
      <c r="K173" s="31">
        <v>4.2000000000000003E-2</v>
      </c>
      <c r="L173" s="19">
        <f>$O$14</f>
        <v>46</v>
      </c>
      <c r="M173" s="32">
        <f t="shared" ref="M173" si="150">K173*G173</f>
        <v>12.982200000000002</v>
      </c>
      <c r="N173" s="11">
        <f t="shared" ref="N173" si="151">M173*L173</f>
        <v>597.1812000000001</v>
      </c>
      <c r="O173" s="11">
        <f t="shared" ref="O173" si="152">N173+J173</f>
        <v>1324.1844000000001</v>
      </c>
      <c r="P173" s="54"/>
      <c r="Q173" s="39"/>
      <c r="R173" s="39"/>
      <c r="U173" s="41"/>
    </row>
    <row r="174" spans="1:21" s="40" customFormat="1">
      <c r="A174" s="33" t="str">
        <f>IF(H174&lt;&gt;"",1+MAX($A$5:A173),"")</f>
        <v/>
      </c>
      <c r="B174" s="108"/>
      <c r="C174" s="69"/>
      <c r="D174" s="95" t="s">
        <v>34</v>
      </c>
      <c r="E174" s="35">
        <f>ROUNDUP(G173/32,0)</f>
        <v>10</v>
      </c>
      <c r="F174" s="36"/>
      <c r="G174" s="37"/>
      <c r="H174" s="38"/>
      <c r="I174" s="19"/>
      <c r="J174" s="19"/>
      <c r="K174" s="31"/>
      <c r="L174" s="19"/>
      <c r="M174" s="32"/>
      <c r="N174" s="11"/>
      <c r="O174" s="11"/>
      <c r="P174" s="54"/>
      <c r="Q174" s="39"/>
      <c r="R174" s="39"/>
      <c r="U174" s="41"/>
    </row>
    <row r="175" spans="1:21" s="40" customFormat="1">
      <c r="A175" s="33" t="str">
        <f>IF(H175&lt;&gt;"",1+MAX($A$5:A174),"")</f>
        <v/>
      </c>
      <c r="B175" s="108"/>
      <c r="C175" s="69"/>
      <c r="D175" s="95" t="s">
        <v>31</v>
      </c>
      <c r="E175" s="35">
        <f>E174*48</f>
        <v>480</v>
      </c>
      <c r="F175" s="36"/>
      <c r="G175" s="37"/>
      <c r="H175" s="38"/>
      <c r="I175" s="19"/>
      <c r="J175" s="19"/>
      <c r="K175" s="31"/>
      <c r="L175" s="19"/>
      <c r="M175" s="32"/>
      <c r="N175" s="11"/>
      <c r="O175" s="11"/>
      <c r="P175" s="54"/>
      <c r="Q175" s="39"/>
      <c r="R175" s="39"/>
      <c r="U175" s="41"/>
    </row>
    <row r="176" spans="1:21" s="40" customFormat="1">
      <c r="A176" s="33" t="str">
        <f>IF(H176&lt;&gt;"",1+MAX($A$5:A175),"")</f>
        <v/>
      </c>
      <c r="B176" s="108"/>
      <c r="C176" s="69"/>
      <c r="D176" s="95" t="s">
        <v>32</v>
      </c>
      <c r="E176" s="35">
        <f>E174</f>
        <v>10</v>
      </c>
      <c r="F176" s="36"/>
      <c r="G176" s="37"/>
      <c r="H176" s="38"/>
      <c r="I176" s="19"/>
      <c r="J176" s="19"/>
      <c r="K176" s="31"/>
      <c r="L176" s="19"/>
      <c r="M176" s="32"/>
      <c r="N176" s="11"/>
      <c r="O176" s="11"/>
      <c r="P176" s="54"/>
      <c r="Q176" s="39"/>
      <c r="R176" s="39"/>
      <c r="U176" s="41"/>
    </row>
    <row r="177" spans="1:21" s="40" customFormat="1">
      <c r="A177" s="33" t="str">
        <f>IF(H177&lt;&gt;"",1+MAX($A$5:A176),"")</f>
        <v/>
      </c>
      <c r="B177" s="108"/>
      <c r="C177" s="69"/>
      <c r="D177" s="95" t="s">
        <v>33</v>
      </c>
      <c r="E177" s="35">
        <f>E174*14</f>
        <v>140</v>
      </c>
      <c r="F177" s="36"/>
      <c r="G177" s="37"/>
      <c r="H177" s="38"/>
      <c r="I177" s="19"/>
      <c r="J177" s="19"/>
      <c r="K177" s="31"/>
      <c r="L177" s="19"/>
      <c r="M177" s="32"/>
      <c r="N177" s="11"/>
      <c r="O177" s="11"/>
      <c r="P177" s="54"/>
      <c r="Q177" s="39"/>
      <c r="R177" s="39"/>
      <c r="U177" s="41"/>
    </row>
    <row r="178" spans="1:21" s="40" customFormat="1">
      <c r="A178" s="33">
        <f>IF(H178&lt;&gt;"",1+MAX($A$5:A177),"")</f>
        <v>65</v>
      </c>
      <c r="B178" s="108"/>
      <c r="C178" s="69"/>
      <c r="D178" s="27" t="s">
        <v>102</v>
      </c>
      <c r="E178" s="35">
        <v>126</v>
      </c>
      <c r="F178" s="36">
        <v>0.1</v>
      </c>
      <c r="G178" s="37">
        <f>(1+F178)*E178</f>
        <v>138.60000000000002</v>
      </c>
      <c r="H178" s="38" t="s">
        <v>30</v>
      </c>
      <c r="I178" s="19">
        <v>2.415</v>
      </c>
      <c r="J178" s="19">
        <f t="shared" ref="J178" si="153">I178*G178</f>
        <v>334.71900000000005</v>
      </c>
      <c r="K178" s="31">
        <v>4.2000000000000003E-2</v>
      </c>
      <c r="L178" s="19">
        <f>$O$14</f>
        <v>46</v>
      </c>
      <c r="M178" s="32">
        <f t="shared" ref="M178" si="154">K178*G178</f>
        <v>5.821200000000001</v>
      </c>
      <c r="N178" s="11">
        <f t="shared" ref="N178" si="155">M178*L178</f>
        <v>267.77520000000004</v>
      </c>
      <c r="O178" s="11">
        <f t="shared" ref="O178" si="156">N178+J178</f>
        <v>602.49420000000009</v>
      </c>
      <c r="P178" s="54"/>
      <c r="Q178" s="39"/>
      <c r="R178" s="39"/>
      <c r="U178" s="41"/>
    </row>
    <row r="179" spans="1:21" s="40" customFormat="1">
      <c r="A179" s="33" t="str">
        <f>IF(H179&lt;&gt;"",1+MAX($A$5:A178),"")</f>
        <v/>
      </c>
      <c r="B179" s="108"/>
      <c r="C179" s="69"/>
      <c r="D179" s="95" t="s">
        <v>34</v>
      </c>
      <c r="E179" s="35">
        <f>ROUNDUP(G178/32,0)</f>
        <v>5</v>
      </c>
      <c r="F179" s="36"/>
      <c r="G179" s="37"/>
      <c r="H179" s="38"/>
      <c r="I179" s="19"/>
      <c r="J179" s="19"/>
      <c r="K179" s="31"/>
      <c r="L179" s="19"/>
      <c r="M179" s="32"/>
      <c r="N179" s="11"/>
      <c r="O179" s="11"/>
      <c r="P179" s="54"/>
      <c r="Q179" s="39"/>
      <c r="R179" s="39"/>
      <c r="U179" s="41"/>
    </row>
    <row r="180" spans="1:21" s="40" customFormat="1">
      <c r="A180" s="33" t="str">
        <f>IF(H180&lt;&gt;"",1+MAX($A$5:A179),"")</f>
        <v/>
      </c>
      <c r="B180" s="108"/>
      <c r="C180" s="69"/>
      <c r="D180" s="95" t="s">
        <v>31</v>
      </c>
      <c r="E180" s="35">
        <f>E179*48</f>
        <v>240</v>
      </c>
      <c r="F180" s="36"/>
      <c r="G180" s="37"/>
      <c r="H180" s="38"/>
      <c r="I180" s="19"/>
      <c r="J180" s="19"/>
      <c r="K180" s="31"/>
      <c r="L180" s="19"/>
      <c r="M180" s="32"/>
      <c r="N180" s="11"/>
      <c r="O180" s="11"/>
      <c r="P180" s="54"/>
      <c r="Q180" s="39"/>
      <c r="R180" s="39"/>
      <c r="U180" s="41"/>
    </row>
    <row r="181" spans="1:21" s="40" customFormat="1">
      <c r="A181" s="33" t="str">
        <f>IF(H181&lt;&gt;"",1+MAX($A$5:A180),"")</f>
        <v/>
      </c>
      <c r="B181" s="108"/>
      <c r="C181" s="69"/>
      <c r="D181" s="95" t="s">
        <v>32</v>
      </c>
      <c r="E181" s="35">
        <f>E179</f>
        <v>5</v>
      </c>
      <c r="F181" s="36"/>
      <c r="G181" s="37"/>
      <c r="H181" s="38"/>
      <c r="I181" s="19"/>
      <c r="J181" s="19"/>
      <c r="K181" s="31"/>
      <c r="L181" s="19"/>
      <c r="M181" s="32"/>
      <c r="N181" s="11"/>
      <c r="O181" s="11"/>
      <c r="P181" s="54"/>
      <c r="Q181" s="39"/>
      <c r="R181" s="39"/>
      <c r="U181" s="41"/>
    </row>
    <row r="182" spans="1:21" s="40" customFormat="1">
      <c r="A182" s="33" t="str">
        <f>IF(H182&lt;&gt;"",1+MAX($A$5:A181),"")</f>
        <v/>
      </c>
      <c r="B182" s="108"/>
      <c r="C182" s="69"/>
      <c r="D182" s="95" t="s">
        <v>33</v>
      </c>
      <c r="E182" s="35">
        <f>E179*14</f>
        <v>70</v>
      </c>
      <c r="F182" s="36"/>
      <c r="G182" s="37"/>
      <c r="H182" s="38"/>
      <c r="I182" s="19"/>
      <c r="J182" s="19"/>
      <c r="K182" s="31"/>
      <c r="L182" s="19"/>
      <c r="M182" s="32"/>
      <c r="N182" s="11"/>
      <c r="O182" s="11"/>
      <c r="P182" s="54"/>
      <c r="Q182" s="39"/>
      <c r="R182" s="39"/>
      <c r="U182" s="41"/>
    </row>
    <row r="183" spans="1:21" s="40" customFormat="1">
      <c r="A183" s="33">
        <f>IF(H183&lt;&gt;"",1+MAX($A$5:A182),"")</f>
        <v>66</v>
      </c>
      <c r="B183" s="108"/>
      <c r="C183" s="69"/>
      <c r="D183" s="27" t="s">
        <v>103</v>
      </c>
      <c r="E183" s="35">
        <v>281</v>
      </c>
      <c r="F183" s="36">
        <v>0.1</v>
      </c>
      <c r="G183" s="37">
        <f>(1+F183)*E183</f>
        <v>309.10000000000002</v>
      </c>
      <c r="H183" s="38" t="s">
        <v>30</v>
      </c>
      <c r="I183" s="19">
        <v>1.0710000000000002</v>
      </c>
      <c r="J183" s="19">
        <f t="shared" ref="J183" si="157">I183*G183</f>
        <v>331.04610000000008</v>
      </c>
      <c r="K183" s="31">
        <v>2.5620000000000004E-2</v>
      </c>
      <c r="L183" s="19">
        <f>$O$14</f>
        <v>46</v>
      </c>
      <c r="M183" s="32">
        <f t="shared" ref="M183" si="158">K183*G183</f>
        <v>7.9191420000000017</v>
      </c>
      <c r="N183" s="11">
        <f t="shared" ref="N183" si="159">M183*L183</f>
        <v>364.28053200000005</v>
      </c>
      <c r="O183" s="11">
        <f t="shared" ref="O183" si="160">N183+J183</f>
        <v>695.32663200000013</v>
      </c>
      <c r="P183" s="54"/>
      <c r="Q183" s="39"/>
      <c r="R183" s="39"/>
      <c r="U183" s="41"/>
    </row>
    <row r="184" spans="1:21" s="40" customFormat="1">
      <c r="A184" s="33" t="str">
        <f>IF(H184&lt;&gt;"",1+MAX($A$5:A183),"")</f>
        <v/>
      </c>
      <c r="B184" s="108"/>
      <c r="C184" s="69"/>
      <c r="D184" s="27"/>
      <c r="E184" s="35"/>
      <c r="F184" s="36"/>
      <c r="G184" s="37"/>
      <c r="H184" s="38"/>
      <c r="I184" s="19"/>
      <c r="J184" s="19"/>
      <c r="K184" s="31"/>
      <c r="L184" s="19"/>
      <c r="M184" s="32"/>
      <c r="N184" s="11"/>
      <c r="O184" s="11"/>
      <c r="P184" s="54"/>
      <c r="Q184" s="39"/>
      <c r="R184" s="39"/>
      <c r="U184" s="41"/>
    </row>
    <row r="185" spans="1:21" s="40" customFormat="1">
      <c r="A185" s="33" t="str">
        <f>IF(H185&lt;&gt;"",1+MAX($A$5:A184),"")</f>
        <v/>
      </c>
      <c r="B185" s="108"/>
      <c r="C185" s="69"/>
      <c r="D185" s="94" t="s">
        <v>104</v>
      </c>
      <c r="E185" s="35"/>
      <c r="F185" s="36"/>
      <c r="G185" s="37"/>
      <c r="H185" s="38"/>
      <c r="I185" s="19"/>
      <c r="J185" s="19"/>
      <c r="K185" s="31"/>
      <c r="L185" s="19"/>
      <c r="M185" s="32"/>
      <c r="N185" s="11"/>
      <c r="O185" s="11"/>
      <c r="P185" s="54"/>
      <c r="Q185" s="39"/>
      <c r="R185" s="39"/>
      <c r="U185" s="41"/>
    </row>
    <row r="186" spans="1:21" s="40" customFormat="1">
      <c r="A186" s="33">
        <f>IF(H186&lt;&gt;"",1+MAX($A$5:A185),"")</f>
        <v>67</v>
      </c>
      <c r="B186" s="108"/>
      <c r="C186" s="69"/>
      <c r="D186" s="27" t="s">
        <v>105</v>
      </c>
      <c r="E186" s="35">
        <f>2*57</f>
        <v>114</v>
      </c>
      <c r="F186" s="36">
        <v>0.1</v>
      </c>
      <c r="G186" s="37">
        <f>(1+F186)*E186</f>
        <v>125.4</v>
      </c>
      <c r="H186" s="38" t="s">
        <v>30</v>
      </c>
      <c r="I186" s="19">
        <v>0.96915000000000007</v>
      </c>
      <c r="J186" s="19">
        <f t="shared" ref="J186" si="161">I186*G186</f>
        <v>121.53141000000001</v>
      </c>
      <c r="K186" s="31">
        <v>2.5620000000000004E-2</v>
      </c>
      <c r="L186" s="19">
        <f>$O$14</f>
        <v>46</v>
      </c>
      <c r="M186" s="32">
        <f t="shared" ref="M186" si="162">K186*G186</f>
        <v>3.2127480000000008</v>
      </c>
      <c r="N186" s="11">
        <f t="shared" ref="N186" si="163">M186*L186</f>
        <v>147.78640800000005</v>
      </c>
      <c r="O186" s="11">
        <f t="shared" ref="O186" si="164">N186+J186</f>
        <v>269.31781800000005</v>
      </c>
      <c r="P186" s="54"/>
      <c r="Q186" s="39"/>
      <c r="R186" s="39"/>
      <c r="U186" s="41"/>
    </row>
    <row r="187" spans="1:21" s="40" customFormat="1">
      <c r="A187" s="33" t="str">
        <f>IF(H187&lt;&gt;"",1+MAX($A$5:A186),"")</f>
        <v/>
      </c>
      <c r="B187" s="108"/>
      <c r="C187" s="69"/>
      <c r="D187" s="95" t="s">
        <v>34</v>
      </c>
      <c r="E187" s="35">
        <f>ROUNDUP(G186/32,0)</f>
        <v>4</v>
      </c>
      <c r="F187" s="36"/>
      <c r="G187" s="37"/>
      <c r="H187" s="38"/>
      <c r="I187" s="19"/>
      <c r="J187" s="19"/>
      <c r="K187" s="31"/>
      <c r="L187" s="19"/>
      <c r="M187" s="32"/>
      <c r="N187" s="11"/>
      <c r="O187" s="11"/>
      <c r="P187" s="54"/>
      <c r="Q187" s="39"/>
      <c r="R187" s="39"/>
      <c r="U187" s="41"/>
    </row>
    <row r="188" spans="1:21" s="40" customFormat="1">
      <c r="A188" s="33" t="str">
        <f>IF(H188&lt;&gt;"",1+MAX($A$5:A187),"")</f>
        <v/>
      </c>
      <c r="B188" s="108"/>
      <c r="C188" s="69"/>
      <c r="D188" s="95" t="s">
        <v>31</v>
      </c>
      <c r="E188" s="35">
        <f>E187*48</f>
        <v>192</v>
      </c>
      <c r="F188" s="36"/>
      <c r="G188" s="37"/>
      <c r="H188" s="38"/>
      <c r="I188" s="19"/>
      <c r="J188" s="19"/>
      <c r="K188" s="31"/>
      <c r="L188" s="19"/>
      <c r="M188" s="32"/>
      <c r="N188" s="11"/>
      <c r="O188" s="11"/>
      <c r="P188" s="54"/>
      <c r="Q188" s="39"/>
      <c r="R188" s="39"/>
      <c r="U188" s="41"/>
    </row>
    <row r="189" spans="1:21" s="40" customFormat="1">
      <c r="A189" s="33" t="str">
        <f>IF(H189&lt;&gt;"",1+MAX($A$5:A188),"")</f>
        <v/>
      </c>
      <c r="B189" s="108"/>
      <c r="C189" s="69"/>
      <c r="D189" s="95" t="s">
        <v>32</v>
      </c>
      <c r="E189" s="35">
        <f>E187</f>
        <v>4</v>
      </c>
      <c r="F189" s="36"/>
      <c r="G189" s="37"/>
      <c r="H189" s="38"/>
      <c r="I189" s="19"/>
      <c r="J189" s="19"/>
      <c r="K189" s="31"/>
      <c r="L189" s="19"/>
      <c r="M189" s="32"/>
      <c r="N189" s="11"/>
      <c r="O189" s="11"/>
      <c r="P189" s="54"/>
      <c r="Q189" s="39"/>
      <c r="R189" s="39"/>
      <c r="U189" s="41"/>
    </row>
    <row r="190" spans="1:21" s="40" customFormat="1">
      <c r="A190" s="33" t="str">
        <f>IF(H190&lt;&gt;"",1+MAX($A$5:A189),"")</f>
        <v/>
      </c>
      <c r="B190" s="108"/>
      <c r="C190" s="69"/>
      <c r="D190" s="95" t="s">
        <v>33</v>
      </c>
      <c r="E190" s="35">
        <f>E187*14</f>
        <v>56</v>
      </c>
      <c r="F190" s="36"/>
      <c r="G190" s="37"/>
      <c r="H190" s="38"/>
      <c r="I190" s="19"/>
      <c r="J190" s="19"/>
      <c r="K190" s="31"/>
      <c r="L190" s="19"/>
      <c r="M190" s="32"/>
      <c r="N190" s="11"/>
      <c r="O190" s="11"/>
      <c r="P190" s="54"/>
      <c r="Q190" s="39"/>
      <c r="R190" s="39"/>
      <c r="U190" s="41"/>
    </row>
    <row r="191" spans="1:21" s="40" customFormat="1">
      <c r="A191" s="33">
        <f>IF(H191&lt;&gt;"",1+MAX($A$5:A190),"")</f>
        <v>68</v>
      </c>
      <c r="B191" s="108"/>
      <c r="C191" s="69"/>
      <c r="D191" s="27" t="s">
        <v>106</v>
      </c>
      <c r="E191" s="35">
        <v>57</v>
      </c>
      <c r="F191" s="36">
        <v>0.1</v>
      </c>
      <c r="G191" s="37">
        <f>(1+F191)*E191</f>
        <v>62.7</v>
      </c>
      <c r="H191" s="38" t="s">
        <v>30</v>
      </c>
      <c r="I191" s="19">
        <v>4.0215000000000005</v>
      </c>
      <c r="J191" s="19">
        <f t="shared" ref="J191" si="165">I191*G191</f>
        <v>252.14805000000004</v>
      </c>
      <c r="K191" s="31">
        <v>4.2000000000000003E-2</v>
      </c>
      <c r="L191" s="19">
        <f>$O$14</f>
        <v>46</v>
      </c>
      <c r="M191" s="32">
        <f t="shared" ref="M191" si="166">K191*G191</f>
        <v>2.6334000000000004</v>
      </c>
      <c r="N191" s="11">
        <f t="shared" ref="N191" si="167">M191*L191</f>
        <v>121.13640000000002</v>
      </c>
      <c r="O191" s="11">
        <f t="shared" ref="O191" si="168">N191+J191</f>
        <v>373.28445000000005</v>
      </c>
      <c r="P191" s="54"/>
      <c r="Q191" s="39"/>
      <c r="R191" s="39"/>
      <c r="U191" s="41"/>
    </row>
    <row r="192" spans="1:21" s="40" customFormat="1">
      <c r="A192" s="33" t="str">
        <f>IF(H192&lt;&gt;"",1+MAX($A$5:A191),"")</f>
        <v/>
      </c>
      <c r="B192" s="108"/>
      <c r="C192" s="69"/>
      <c r="D192" s="27"/>
      <c r="E192" s="35"/>
      <c r="F192" s="36"/>
      <c r="G192" s="37"/>
      <c r="H192" s="38"/>
      <c r="I192" s="19"/>
      <c r="J192" s="19"/>
      <c r="K192" s="31"/>
      <c r="L192" s="19"/>
      <c r="M192" s="32"/>
      <c r="N192" s="11"/>
      <c r="O192" s="11"/>
      <c r="P192" s="54"/>
      <c r="Q192" s="39"/>
      <c r="R192" s="39"/>
      <c r="U192" s="41"/>
    </row>
    <row r="193" spans="1:21" s="40" customFormat="1">
      <c r="A193" s="33" t="str">
        <f>IF(H193&lt;&gt;"",1+MAX($A$5:A192),"")</f>
        <v/>
      </c>
      <c r="B193" s="108"/>
      <c r="C193" s="69"/>
      <c r="D193" s="94" t="s">
        <v>107</v>
      </c>
      <c r="E193" s="35"/>
      <c r="F193" s="36"/>
      <c r="G193" s="37"/>
      <c r="H193" s="38"/>
      <c r="I193" s="19"/>
      <c r="J193" s="19"/>
      <c r="K193" s="31"/>
      <c r="L193" s="19"/>
      <c r="M193" s="32"/>
      <c r="N193" s="11"/>
      <c r="O193" s="11"/>
      <c r="P193" s="54"/>
      <c r="Q193" s="39"/>
      <c r="R193" s="39"/>
      <c r="U193" s="41"/>
    </row>
    <row r="194" spans="1:21" s="40" customFormat="1">
      <c r="A194" s="33">
        <f>IF(H194&lt;&gt;"",1+MAX($A$5:A193),"")</f>
        <v>69</v>
      </c>
      <c r="B194" s="108"/>
      <c r="C194" s="69"/>
      <c r="D194" s="27" t="s">
        <v>108</v>
      </c>
      <c r="E194" s="35">
        <f>2*7.26</f>
        <v>14.52</v>
      </c>
      <c r="F194" s="36">
        <v>0.1</v>
      </c>
      <c r="G194" s="37">
        <f>(1+F194)*E194</f>
        <v>15.972000000000001</v>
      </c>
      <c r="H194" s="38" t="s">
        <v>3</v>
      </c>
      <c r="I194" s="19">
        <v>4.7774999999999999</v>
      </c>
      <c r="J194" s="19">
        <f t="shared" ref="J194" si="169">I194*G194</f>
        <v>76.306229999999999</v>
      </c>
      <c r="K194" s="31">
        <v>5.2500000000000005E-2</v>
      </c>
      <c r="L194" s="19">
        <f>$O$14</f>
        <v>46</v>
      </c>
      <c r="M194" s="32">
        <f t="shared" ref="M194" si="170">K194*G194</f>
        <v>0.83853000000000011</v>
      </c>
      <c r="N194" s="11">
        <f t="shared" ref="N194" si="171">M194*L194</f>
        <v>38.572380000000003</v>
      </c>
      <c r="O194" s="11">
        <f t="shared" ref="O194" si="172">N194+J194</f>
        <v>114.87861000000001</v>
      </c>
      <c r="P194" s="54"/>
      <c r="Q194" s="39"/>
      <c r="R194" s="39"/>
      <c r="U194" s="41"/>
    </row>
    <row r="195" spans="1:21" s="40" customFormat="1">
      <c r="A195" s="33" t="str">
        <f>IF(H195&lt;&gt;"",1+MAX($A$5:A194),"")</f>
        <v/>
      </c>
      <c r="B195" s="108"/>
      <c r="C195" s="69"/>
      <c r="D195" s="27"/>
      <c r="E195" s="35"/>
      <c r="F195" s="36"/>
      <c r="G195" s="37"/>
      <c r="H195" s="38"/>
      <c r="I195" s="19"/>
      <c r="J195" s="19"/>
      <c r="K195" s="31"/>
      <c r="L195" s="19"/>
      <c r="M195" s="32"/>
      <c r="N195" s="11"/>
      <c r="O195" s="11"/>
      <c r="P195" s="54"/>
      <c r="Q195" s="39"/>
      <c r="R195" s="39"/>
      <c r="U195" s="41"/>
    </row>
    <row r="196" spans="1:21" s="40" customFormat="1">
      <c r="A196" s="33" t="str">
        <f>IF(H196&lt;&gt;"",1+MAX($A$5:A195),"")</f>
        <v/>
      </c>
      <c r="B196" s="108"/>
      <c r="C196" s="69"/>
      <c r="D196" s="94" t="s">
        <v>109</v>
      </c>
      <c r="E196" s="35"/>
      <c r="F196" s="36"/>
      <c r="G196" s="37"/>
      <c r="H196" s="38"/>
      <c r="I196" s="19"/>
      <c r="J196" s="19"/>
      <c r="K196" s="31"/>
      <c r="L196" s="19"/>
      <c r="M196" s="32"/>
      <c r="N196" s="11"/>
      <c r="O196" s="11"/>
      <c r="P196" s="54"/>
      <c r="Q196" s="39"/>
      <c r="R196" s="39"/>
      <c r="U196" s="41"/>
    </row>
    <row r="197" spans="1:21" s="40" customFormat="1">
      <c r="A197" s="33">
        <f>IF(H197&lt;&gt;"",1+MAX($A$5:A196),"")</f>
        <v>70</v>
      </c>
      <c r="B197" s="108"/>
      <c r="C197" s="69"/>
      <c r="D197" s="27" t="s">
        <v>110</v>
      </c>
      <c r="E197" s="35">
        <v>137</v>
      </c>
      <c r="F197" s="36">
        <v>0.1</v>
      </c>
      <c r="G197" s="37">
        <f>(1+F197)*E197</f>
        <v>150.70000000000002</v>
      </c>
      <c r="H197" s="38" t="s">
        <v>30</v>
      </c>
      <c r="I197" s="19">
        <v>1.4909999999999999</v>
      </c>
      <c r="J197" s="19">
        <f t="shared" ref="J197" si="173">I197*G197</f>
        <v>224.69370000000001</v>
      </c>
      <c r="K197" s="31">
        <v>3.15E-2</v>
      </c>
      <c r="L197" s="19">
        <f>$O$14</f>
        <v>46</v>
      </c>
      <c r="M197" s="32">
        <f t="shared" ref="M197" si="174">K197*G197</f>
        <v>4.7470500000000007</v>
      </c>
      <c r="N197" s="11">
        <f t="shared" ref="N197" si="175">M197*L197</f>
        <v>218.36430000000004</v>
      </c>
      <c r="O197" s="11">
        <f t="shared" ref="O197" si="176">N197+J197</f>
        <v>443.05800000000005</v>
      </c>
      <c r="P197" s="54"/>
      <c r="Q197" s="39"/>
      <c r="R197" s="39"/>
      <c r="U197" s="41"/>
    </row>
    <row r="198" spans="1:21" s="40" customFormat="1">
      <c r="A198" s="33" t="str">
        <f>IF(H198&lt;&gt;"",1+MAX($A$5:A197),"")</f>
        <v/>
      </c>
      <c r="B198" s="108"/>
      <c r="C198" s="69"/>
      <c r="D198" s="95" t="s">
        <v>34</v>
      </c>
      <c r="E198" s="35">
        <f>ROUNDUP(G197/32,0)</f>
        <v>5</v>
      </c>
      <c r="F198" s="36"/>
      <c r="G198" s="37"/>
      <c r="H198" s="38"/>
      <c r="I198" s="19"/>
      <c r="J198" s="19"/>
      <c r="K198" s="31"/>
      <c r="L198" s="19"/>
      <c r="M198" s="32"/>
      <c r="N198" s="11"/>
      <c r="O198" s="11"/>
      <c r="P198" s="54"/>
      <c r="Q198" s="39"/>
      <c r="R198" s="39"/>
      <c r="U198" s="41"/>
    </row>
    <row r="199" spans="1:21" s="40" customFormat="1">
      <c r="A199" s="33" t="str">
        <f>IF(H199&lt;&gt;"",1+MAX($A$5:A198),"")</f>
        <v/>
      </c>
      <c r="B199" s="108"/>
      <c r="C199" s="69"/>
      <c r="D199" s="95" t="s">
        <v>31</v>
      </c>
      <c r="E199" s="35">
        <f>E198*48</f>
        <v>240</v>
      </c>
      <c r="F199" s="36"/>
      <c r="G199" s="37"/>
      <c r="H199" s="38"/>
      <c r="I199" s="19"/>
      <c r="J199" s="19"/>
      <c r="K199" s="31"/>
      <c r="L199" s="19"/>
      <c r="M199" s="32"/>
      <c r="N199" s="11"/>
      <c r="O199" s="11"/>
      <c r="P199" s="54"/>
      <c r="Q199" s="39"/>
      <c r="R199" s="39"/>
      <c r="U199" s="41"/>
    </row>
    <row r="200" spans="1:21" s="40" customFormat="1">
      <c r="A200" s="33" t="str">
        <f>IF(H200&lt;&gt;"",1+MAX($A$5:A199),"")</f>
        <v/>
      </c>
      <c r="B200" s="108"/>
      <c r="C200" s="69"/>
      <c r="D200" s="95" t="s">
        <v>32</v>
      </c>
      <c r="E200" s="35">
        <f>E198</f>
        <v>5</v>
      </c>
      <c r="F200" s="36"/>
      <c r="G200" s="37"/>
      <c r="H200" s="38"/>
      <c r="I200" s="19"/>
      <c r="J200" s="19"/>
      <c r="K200" s="31"/>
      <c r="L200" s="19"/>
      <c r="M200" s="32"/>
      <c r="N200" s="11"/>
      <c r="O200" s="11"/>
      <c r="P200" s="54"/>
      <c r="Q200" s="39"/>
      <c r="R200" s="39"/>
      <c r="U200" s="41"/>
    </row>
    <row r="201" spans="1:21" s="40" customFormat="1">
      <c r="A201" s="33" t="str">
        <f>IF(H201&lt;&gt;"",1+MAX($A$5:A200),"")</f>
        <v/>
      </c>
      <c r="B201" s="108"/>
      <c r="C201" s="69"/>
      <c r="D201" s="95" t="s">
        <v>33</v>
      </c>
      <c r="E201" s="35">
        <f>E198*14</f>
        <v>70</v>
      </c>
      <c r="F201" s="36"/>
      <c r="G201" s="37"/>
      <c r="H201" s="38"/>
      <c r="I201" s="19"/>
      <c r="J201" s="19"/>
      <c r="K201" s="31"/>
      <c r="L201" s="19"/>
      <c r="M201" s="32"/>
      <c r="N201" s="11"/>
      <c r="O201" s="11"/>
      <c r="P201" s="54"/>
      <c r="Q201" s="39"/>
      <c r="R201" s="39"/>
      <c r="U201" s="41"/>
    </row>
    <row r="202" spans="1:21" s="40" customFormat="1">
      <c r="A202" s="33">
        <f>IF(H202&lt;&gt;"",1+MAX($A$5:A201),"")</f>
        <v>71</v>
      </c>
      <c r="B202" s="108"/>
      <c r="C202" s="69"/>
      <c r="D202" s="27" t="s">
        <v>111</v>
      </c>
      <c r="E202" s="35">
        <v>137</v>
      </c>
      <c r="F202" s="36">
        <v>0.1</v>
      </c>
      <c r="G202" s="37">
        <f>(1+F202)*E202</f>
        <v>150.70000000000002</v>
      </c>
      <c r="H202" s="38" t="s">
        <v>30</v>
      </c>
      <c r="I202" s="19">
        <v>6.2790000000000008</v>
      </c>
      <c r="J202" s="19">
        <f t="shared" ref="J202:J203" si="177">I202*G202</f>
        <v>946.24530000000027</v>
      </c>
      <c r="K202" s="31">
        <v>6.3E-2</v>
      </c>
      <c r="L202" s="19">
        <f t="shared" ref="L202:L204" si="178">$O$14</f>
        <v>46</v>
      </c>
      <c r="M202" s="32">
        <f t="shared" ref="M202:M204" si="179">K202*G202</f>
        <v>9.4941000000000013</v>
      </c>
      <c r="N202" s="11">
        <f t="shared" ref="N202:N204" si="180">M202*L202</f>
        <v>436.72860000000009</v>
      </c>
      <c r="O202" s="11">
        <f t="shared" ref="O202:O204" si="181">N202+J202</f>
        <v>1382.9739000000004</v>
      </c>
      <c r="P202" s="54"/>
      <c r="Q202" s="39"/>
      <c r="R202" s="39"/>
      <c r="U202" s="41"/>
    </row>
    <row r="203" spans="1:21" s="40" customFormat="1">
      <c r="A203" s="33">
        <f>IF(H203&lt;&gt;"",1+MAX($A$5:A202),"")</f>
        <v>72</v>
      </c>
      <c r="B203" s="108"/>
      <c r="C203" s="69"/>
      <c r="D203" s="27" t="s">
        <v>35</v>
      </c>
      <c r="E203" s="35">
        <v>51.95</v>
      </c>
      <c r="F203" s="36">
        <v>0.1</v>
      </c>
      <c r="G203" s="37">
        <f>(1+F203)*E203</f>
        <v>57.14500000000001</v>
      </c>
      <c r="H203" s="38" t="s">
        <v>3</v>
      </c>
      <c r="I203" s="19">
        <v>0.47250000000000003</v>
      </c>
      <c r="J203" s="19">
        <f t="shared" si="177"/>
        <v>27.001012500000005</v>
      </c>
      <c r="K203" s="31">
        <v>5.6700000000000006E-3</v>
      </c>
      <c r="L203" s="19">
        <f t="shared" si="178"/>
        <v>46</v>
      </c>
      <c r="M203" s="32">
        <f t="shared" si="179"/>
        <v>0.32401215000000011</v>
      </c>
      <c r="N203" s="11">
        <f t="shared" si="180"/>
        <v>14.904558900000005</v>
      </c>
      <c r="O203" s="11">
        <f t="shared" si="181"/>
        <v>41.905571400000014</v>
      </c>
      <c r="P203" s="54"/>
      <c r="Q203" s="39"/>
      <c r="R203" s="39"/>
      <c r="U203" s="41"/>
    </row>
    <row r="204" spans="1:21" s="40" customFormat="1">
      <c r="A204" s="33">
        <f>IF(H204&lt;&gt;"",1+MAX($A$5:A203),"")</f>
        <v>73</v>
      </c>
      <c r="B204" s="108"/>
      <c r="C204" s="69"/>
      <c r="D204" s="27" t="s">
        <v>112</v>
      </c>
      <c r="E204" s="35">
        <v>10</v>
      </c>
      <c r="F204" s="36">
        <v>0.1</v>
      </c>
      <c r="G204" s="37">
        <f>(1+F204)*E204</f>
        <v>11</v>
      </c>
      <c r="H204" s="38" t="s">
        <v>3</v>
      </c>
      <c r="I204" s="19">
        <v>2.1</v>
      </c>
      <c r="J204" s="19">
        <f t="shared" ref="J204" si="182">I204*G204</f>
        <v>23.1</v>
      </c>
      <c r="K204" s="31">
        <v>3.15E-2</v>
      </c>
      <c r="L204" s="19">
        <f t="shared" si="178"/>
        <v>46</v>
      </c>
      <c r="M204" s="32">
        <f t="shared" si="179"/>
        <v>0.34650000000000003</v>
      </c>
      <c r="N204" s="11">
        <f t="shared" si="180"/>
        <v>15.939000000000002</v>
      </c>
      <c r="O204" s="11">
        <f t="shared" si="181"/>
        <v>39.039000000000001</v>
      </c>
      <c r="P204" s="54"/>
      <c r="Q204" s="39"/>
      <c r="R204" s="39"/>
      <c r="U204" s="41"/>
    </row>
    <row r="205" spans="1:21" s="40" customFormat="1">
      <c r="A205" s="33" t="str">
        <f>IF(H205&lt;&gt;"",1+MAX($A$5:A204),"")</f>
        <v/>
      </c>
      <c r="B205" s="79"/>
      <c r="C205" s="69"/>
      <c r="D205" s="27"/>
      <c r="E205" s="35"/>
      <c r="F205" s="36"/>
      <c r="G205" s="37"/>
      <c r="H205" s="38"/>
      <c r="I205" s="19"/>
      <c r="J205" s="19"/>
      <c r="K205" s="31"/>
      <c r="L205" s="19"/>
      <c r="M205" s="32"/>
      <c r="N205" s="11"/>
      <c r="O205" s="11"/>
      <c r="P205" s="54"/>
      <c r="Q205" s="39"/>
      <c r="R205" s="39"/>
      <c r="U205" s="41"/>
    </row>
    <row r="206" spans="1:21" s="3" customFormat="1">
      <c r="A206" s="33" t="str">
        <f>IF(H206&lt;&gt;"",1+MAX($A$5:A205),"")</f>
        <v/>
      </c>
      <c r="B206" s="78"/>
      <c r="C206" s="70"/>
      <c r="D206" s="27"/>
      <c r="E206" s="23"/>
      <c r="F206" s="10"/>
      <c r="G206" s="22"/>
      <c r="H206" s="24"/>
      <c r="I206" s="19"/>
      <c r="J206" s="19"/>
      <c r="K206" s="31"/>
      <c r="L206" s="19"/>
      <c r="M206" s="32"/>
      <c r="N206" s="11"/>
      <c r="O206" s="11"/>
      <c r="P206" s="54"/>
      <c r="Q206" s="2"/>
      <c r="R206" s="2"/>
      <c r="U206" s="14"/>
    </row>
    <row r="207" spans="1:21" s="3" customFormat="1">
      <c r="A207" s="30"/>
      <c r="B207" s="78"/>
      <c r="C207" s="70"/>
      <c r="D207" s="64"/>
      <c r="E207" s="26"/>
      <c r="F207" s="10"/>
      <c r="G207" s="22"/>
      <c r="H207" s="25"/>
      <c r="I207" s="19"/>
      <c r="J207" s="19"/>
      <c r="K207" s="19"/>
      <c r="L207" s="83" t="s">
        <v>21</v>
      </c>
      <c r="M207" s="84">
        <f>SUM(M5:M205)</f>
        <v>2128.5967435988</v>
      </c>
      <c r="N207" s="11"/>
      <c r="O207" s="11"/>
      <c r="P207" s="54"/>
      <c r="Q207" s="2"/>
      <c r="R207" s="2"/>
      <c r="U207" s="14"/>
    </row>
    <row r="208" spans="1:21" ht="16.2" thickBot="1">
      <c r="A208" s="28"/>
      <c r="B208" s="59" t="s">
        <v>22</v>
      </c>
      <c r="C208" s="43"/>
      <c r="D208" s="65"/>
      <c r="E208" s="42"/>
      <c r="F208" s="43"/>
      <c r="G208" s="43"/>
      <c r="H208" s="44"/>
      <c r="I208" s="44"/>
      <c r="J208" s="44"/>
      <c r="K208" s="44"/>
      <c r="L208" s="34"/>
      <c r="M208" s="34"/>
      <c r="N208" s="45"/>
      <c r="O208" s="55"/>
      <c r="P208" s="56">
        <f>SUM(P5:P205)</f>
        <v>222516.42886801279</v>
      </c>
    </row>
    <row r="209" spans="1:16" ht="16.8" thickTop="1" thickBot="1">
      <c r="A209" s="28"/>
      <c r="B209" s="60" t="s">
        <v>23</v>
      </c>
      <c r="C209" s="65"/>
      <c r="D209" s="65"/>
      <c r="E209" s="42"/>
      <c r="F209" s="43"/>
      <c r="G209" s="43"/>
      <c r="H209" s="44"/>
      <c r="I209" s="44"/>
      <c r="J209" s="44"/>
      <c r="K209" s="44"/>
      <c r="L209" s="44"/>
      <c r="M209" s="44"/>
      <c r="N209" s="46">
        <v>0.06</v>
      </c>
      <c r="O209" s="47"/>
      <c r="P209" s="57">
        <f>P208*N209</f>
        <v>13350.985732080768</v>
      </c>
    </row>
    <row r="210" spans="1:16" ht="16.8" thickTop="1" thickBot="1">
      <c r="A210" s="28"/>
      <c r="B210" s="60" t="s">
        <v>24</v>
      </c>
      <c r="C210" s="65"/>
      <c r="D210" s="65"/>
      <c r="E210" s="42"/>
      <c r="F210" s="43"/>
      <c r="G210" s="43"/>
      <c r="H210" s="44"/>
      <c r="I210" s="44"/>
      <c r="J210" s="44"/>
      <c r="K210" s="44"/>
      <c r="L210" s="44"/>
      <c r="M210" s="44"/>
      <c r="N210" s="48">
        <v>0.25</v>
      </c>
      <c r="O210" s="47"/>
      <c r="P210" s="57">
        <f>P208*N210</f>
        <v>55629.107217003198</v>
      </c>
    </row>
    <row r="211" spans="1:16" ht="16.8" thickTop="1" thickBot="1">
      <c r="A211" s="28"/>
      <c r="B211" s="61" t="s">
        <v>25</v>
      </c>
      <c r="C211" s="66"/>
      <c r="D211" s="66"/>
      <c r="E211" s="49"/>
      <c r="F211" s="50"/>
      <c r="G211" s="50"/>
      <c r="H211" s="51"/>
      <c r="I211" s="51"/>
      <c r="J211" s="51"/>
      <c r="K211" s="51"/>
      <c r="L211" s="51"/>
      <c r="M211" s="51"/>
      <c r="N211" s="52"/>
      <c r="O211" s="53"/>
      <c r="P211" s="58">
        <f>SUM(P208:P210)</f>
        <v>291496.52181709674</v>
      </c>
    </row>
    <row r="212" spans="1:16" ht="16.2" thickTop="1">
      <c r="A212" s="85"/>
      <c r="B212" s="86"/>
      <c r="C212" s="86"/>
      <c r="D212" s="87"/>
      <c r="E212" s="88"/>
      <c r="F212" s="89"/>
      <c r="G212" s="89"/>
      <c r="H212" s="90"/>
      <c r="I212" s="90"/>
      <c r="J212" s="90"/>
      <c r="K212" s="90"/>
      <c r="L212" s="90"/>
      <c r="M212" s="90"/>
      <c r="N212" s="91"/>
      <c r="O212" s="92"/>
      <c r="P212" s="93"/>
    </row>
    <row r="213" spans="1:16" ht="18" customHeight="1">
      <c r="A213" s="122" t="s">
        <v>37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4"/>
    </row>
    <row r="214" spans="1:16">
      <c r="A214" s="119" t="s">
        <v>38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1"/>
    </row>
    <row r="215" spans="1:16">
      <c r="A215" s="119" t="s">
        <v>39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1"/>
    </row>
    <row r="216" spans="1:16">
      <c r="A216" s="119" t="s">
        <v>46</v>
      </c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1"/>
    </row>
    <row r="217" spans="1:16">
      <c r="A217" s="119" t="s">
        <v>40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1"/>
    </row>
    <row r="218" spans="1:16">
      <c r="A218" s="119" t="s">
        <v>42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1"/>
    </row>
    <row r="219" spans="1:16">
      <c r="A219" s="119" t="s">
        <v>41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1"/>
    </row>
  </sheetData>
  <mergeCells count="17">
    <mergeCell ref="A217:P217"/>
    <mergeCell ref="A213:P213"/>
    <mergeCell ref="A218:P218"/>
    <mergeCell ref="A219:P219"/>
    <mergeCell ref="A214:P214"/>
    <mergeCell ref="A215:P215"/>
    <mergeCell ref="A216:P216"/>
    <mergeCell ref="B7:B11"/>
    <mergeCell ref="B15:B204"/>
    <mergeCell ref="P2:P3"/>
    <mergeCell ref="A1:B1"/>
    <mergeCell ref="A2:B2"/>
    <mergeCell ref="A3:B3"/>
    <mergeCell ref="D1:N1"/>
    <mergeCell ref="D2:N2"/>
    <mergeCell ref="D3:N3"/>
    <mergeCell ref="O2:O3"/>
  </mergeCells>
  <printOptions horizontalCentered="1"/>
  <pageMargins left="0.43307086614173201" right="0.43307086614173201" top="0.39370078740157499" bottom="0.39370078740157499" header="0.196850393700787" footer="0.196850393700787"/>
  <pageSetup scale="27" fitToHeight="0" orientation="portrait" r:id="rId1"/>
  <headerFooter>
    <oddFooter>&amp;C&amp;P of &amp;N</oddFooter>
  </headerFooter>
  <ignoredErrors>
    <ignoredError sqref="B14:N14 A13:C13 R13:XFD13 E13:O13 P14 R14:XFD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D7F82945-CBCC-47C3-B193-DAB794386195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 Statement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2023-09-27T14:31:20Z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{D7F82945-CBCC-47C3-B193-DAB794386195}</vt:lpwstr>
  </property>
</Properties>
</file>