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codeName="ThisWorkbook" defaultThemeVersion="124226"/>
  <bookViews>
    <workbookView xWindow="0" yWindow="0" windowWidth="23040" windowHeight="8676"/>
  </bookViews>
  <sheets>
    <sheet name="Estimate Statement" sheetId="11" r:id="rId1"/>
    <sheet name="Cost Summary" sheetId="13" r:id="rId2"/>
  </sheets>
  <definedNames>
    <definedName name="_xlnm._FilterDatabase" localSheetId="0" hidden="1">'Estimate Statement'!#REF!</definedName>
    <definedName name="_xlnm.Print_Area" localSheetId="0">'Estimate Statement'!$A$1:$O$578</definedName>
    <definedName name="_xlnm.Print_Titles" localSheetId="0">'Estimate Statement'!$4:$4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00" i="11" l="1"/>
  <c r="K100" i="11"/>
  <c r="I100" i="11"/>
  <c r="L98" i="11"/>
  <c r="K98" i="11"/>
  <c r="I98" i="11"/>
  <c r="L95" i="11"/>
  <c r="K95" i="11"/>
  <c r="I95" i="11"/>
  <c r="L94" i="11"/>
  <c r="K94" i="11"/>
  <c r="I94" i="11"/>
  <c r="L93" i="11"/>
  <c r="M93" i="11" s="1"/>
  <c r="K93" i="11"/>
  <c r="I93" i="11"/>
  <c r="L90" i="11"/>
  <c r="K90" i="11"/>
  <c r="I90" i="11"/>
  <c r="L89" i="11"/>
  <c r="M89" i="11" s="1"/>
  <c r="K89" i="11"/>
  <c r="I89" i="11"/>
  <c r="L86" i="11"/>
  <c r="K86" i="11"/>
  <c r="I86" i="11"/>
  <c r="L85" i="11"/>
  <c r="M85" i="11" s="1"/>
  <c r="K85" i="11"/>
  <c r="I85" i="11"/>
  <c r="L84" i="11"/>
  <c r="K84" i="11"/>
  <c r="I84" i="11"/>
  <c r="L83" i="11"/>
  <c r="M83" i="11" s="1"/>
  <c r="K83" i="11"/>
  <c r="I83" i="11"/>
  <c r="L82" i="11"/>
  <c r="K82" i="11"/>
  <c r="I82" i="11"/>
  <c r="L81" i="11"/>
  <c r="K81" i="11"/>
  <c r="I81" i="11"/>
  <c r="I74" i="11"/>
  <c r="K74" i="11"/>
  <c r="L74" i="11"/>
  <c r="I75" i="11"/>
  <c r="K75" i="11"/>
  <c r="L75" i="11"/>
  <c r="M75" i="11" s="1"/>
  <c r="I76" i="11"/>
  <c r="K76" i="11"/>
  <c r="L76" i="11"/>
  <c r="I77" i="11"/>
  <c r="K77" i="11"/>
  <c r="L77" i="11"/>
  <c r="M77" i="11" s="1"/>
  <c r="I78" i="11"/>
  <c r="K78" i="11"/>
  <c r="L78" i="11"/>
  <c r="L73" i="11"/>
  <c r="K73" i="11"/>
  <c r="I73" i="11"/>
  <c r="A102" i="11"/>
  <c r="A101" i="11"/>
  <c r="A97" i="11"/>
  <c r="A96" i="11"/>
  <c r="A92" i="11"/>
  <c r="A91" i="11"/>
  <c r="A88" i="11"/>
  <c r="A87" i="11"/>
  <c r="A80" i="11"/>
  <c r="A79" i="11"/>
  <c r="A72" i="11"/>
  <c r="F73" i="11"/>
  <c r="F74" i="11"/>
  <c r="D75" i="11"/>
  <c r="F75" i="11"/>
  <c r="D76" i="11"/>
  <c r="F76" i="11"/>
  <c r="D77" i="11"/>
  <c r="F77" i="11" s="1"/>
  <c r="D78" i="11"/>
  <c r="F78" i="11"/>
  <c r="F81" i="11"/>
  <c r="F82" i="11"/>
  <c r="F83" i="11"/>
  <c r="F84" i="11"/>
  <c r="D85" i="11"/>
  <c r="F85" i="11"/>
  <c r="D86" i="11"/>
  <c r="F86" i="11"/>
  <c r="D89" i="11"/>
  <c r="F89" i="11" s="1"/>
  <c r="D90" i="11"/>
  <c r="F90" i="11"/>
  <c r="F93" i="11"/>
  <c r="F94" i="11"/>
  <c r="F95" i="11"/>
  <c r="F98" i="11"/>
  <c r="D99" i="11" s="1"/>
  <c r="K57" i="11"/>
  <c r="K58" i="11"/>
  <c r="L58" i="11"/>
  <c r="M58" i="11" s="1"/>
  <c r="K59" i="11"/>
  <c r="K60" i="11"/>
  <c r="K61" i="11"/>
  <c r="I62" i="11"/>
  <c r="K62" i="11"/>
  <c r="I63" i="11"/>
  <c r="K63" i="11"/>
  <c r="K64" i="11"/>
  <c r="K65" i="11"/>
  <c r="K66" i="11"/>
  <c r="K67" i="11"/>
  <c r="K68" i="11"/>
  <c r="K56" i="11"/>
  <c r="L56" i="11"/>
  <c r="I56" i="11"/>
  <c r="A69" i="11"/>
  <c r="A55" i="11"/>
  <c r="A54" i="11"/>
  <c r="F56" i="11"/>
  <c r="F57" i="11"/>
  <c r="F58" i="11"/>
  <c r="I58" i="11" s="1"/>
  <c r="D59" i="11"/>
  <c r="F59" i="11" s="1"/>
  <c r="F60" i="11"/>
  <c r="L60" i="11" s="1"/>
  <c r="M60" i="11" s="1"/>
  <c r="F61" i="11"/>
  <c r="I61" i="11" s="1"/>
  <c r="F62" i="11"/>
  <c r="L62" i="11" s="1"/>
  <c r="F63" i="11"/>
  <c r="L63" i="11" s="1"/>
  <c r="F64" i="11"/>
  <c r="L64" i="11" s="1"/>
  <c r="F65" i="11"/>
  <c r="L65" i="11" s="1"/>
  <c r="D66" i="11"/>
  <c r="F66" i="11" s="1"/>
  <c r="D67" i="11"/>
  <c r="F67" i="11" s="1"/>
  <c r="D68" i="11"/>
  <c r="F68" i="11" s="1"/>
  <c r="K51" i="11"/>
  <c r="K48" i="11"/>
  <c r="K45" i="11"/>
  <c r="K44" i="11"/>
  <c r="K43" i="11"/>
  <c r="K40" i="11"/>
  <c r="K39" i="11"/>
  <c r="K38" i="11"/>
  <c r="K35" i="11"/>
  <c r="K34" i="11"/>
  <c r="K33" i="11"/>
  <c r="K32" i="11"/>
  <c r="K29" i="11"/>
  <c r="K28" i="11"/>
  <c r="K20" i="11"/>
  <c r="K21" i="11"/>
  <c r="K22" i="11"/>
  <c r="K23" i="11"/>
  <c r="K24" i="11"/>
  <c r="K19" i="11"/>
  <c r="A52" i="11"/>
  <c r="A50" i="11"/>
  <c r="A49" i="11"/>
  <c r="A47" i="11"/>
  <c r="A46" i="11"/>
  <c r="A42" i="11"/>
  <c r="A41" i="11"/>
  <c r="A37" i="11"/>
  <c r="A36" i="11"/>
  <c r="A31" i="11"/>
  <c r="A30" i="11"/>
  <c r="A27" i="11"/>
  <c r="A26" i="11"/>
  <c r="A25" i="11"/>
  <c r="A18" i="11"/>
  <c r="A17" i="11"/>
  <c r="D19" i="11"/>
  <c r="F19" i="11"/>
  <c r="L19" i="11" s="1"/>
  <c r="D20" i="11"/>
  <c r="F20" i="11" s="1"/>
  <c r="D21" i="11"/>
  <c r="F21" i="11"/>
  <c r="I21" i="11" s="1"/>
  <c r="D22" i="11"/>
  <c r="F22" i="11" s="1"/>
  <c r="D23" i="11"/>
  <c r="F23" i="11" s="1"/>
  <c r="D24" i="11"/>
  <c r="F24" i="11" s="1"/>
  <c r="D28" i="11"/>
  <c r="F28" i="11" s="1"/>
  <c r="D29" i="11"/>
  <c r="F29" i="11" s="1"/>
  <c r="D32" i="11"/>
  <c r="F32" i="11"/>
  <c r="L32" i="11" s="1"/>
  <c r="M32" i="11" s="1"/>
  <c r="D33" i="11"/>
  <c r="F33" i="11"/>
  <c r="D34" i="11"/>
  <c r="F34" i="11" s="1"/>
  <c r="D35" i="11"/>
  <c r="F35" i="11" s="1"/>
  <c r="D38" i="11"/>
  <c r="F38" i="11"/>
  <c r="L38" i="11" s="1"/>
  <c r="D39" i="11"/>
  <c r="F39" i="11" s="1"/>
  <c r="D40" i="11"/>
  <c r="F40" i="11" s="1"/>
  <c r="L40" i="11" s="1"/>
  <c r="M40" i="11" s="1"/>
  <c r="D43" i="11"/>
  <c r="F43" i="11" s="1"/>
  <c r="D44" i="11"/>
  <c r="F44" i="11" s="1"/>
  <c r="D45" i="11"/>
  <c r="F45" i="11" s="1"/>
  <c r="F48" i="11"/>
  <c r="I48" i="11" s="1"/>
  <c r="D51" i="11"/>
  <c r="F51" i="11" s="1"/>
  <c r="K466" i="11"/>
  <c r="K465" i="11"/>
  <c r="M82" i="11" l="1"/>
  <c r="N82" i="11" s="1"/>
  <c r="M73" i="11"/>
  <c r="M95" i="11"/>
  <c r="M86" i="11"/>
  <c r="M94" i="11"/>
  <c r="N94" i="11" s="1"/>
  <c r="M84" i="11"/>
  <c r="M90" i="11"/>
  <c r="N90" i="11" s="1"/>
  <c r="M98" i="11"/>
  <c r="N98" i="11" s="1"/>
  <c r="M81" i="11"/>
  <c r="N81" i="11" s="1"/>
  <c r="M100" i="11"/>
  <c r="N100" i="11" s="1"/>
  <c r="M65" i="11"/>
  <c r="M64" i="11"/>
  <c r="N64" i="11" s="1"/>
  <c r="N86" i="11"/>
  <c r="N95" i="11"/>
  <c r="N93" i="11"/>
  <c r="N89" i="11"/>
  <c r="N85" i="11"/>
  <c r="N84" i="11"/>
  <c r="N83" i="11"/>
  <c r="M78" i="11"/>
  <c r="N78" i="11" s="1"/>
  <c r="N77" i="11"/>
  <c r="M76" i="11"/>
  <c r="N76" i="11" s="1"/>
  <c r="N75" i="11"/>
  <c r="M74" i="11"/>
  <c r="N74" i="11" s="1"/>
  <c r="N73" i="11"/>
  <c r="L43" i="11"/>
  <c r="M43" i="11" s="1"/>
  <c r="I43" i="11"/>
  <c r="N43" i="11" s="1"/>
  <c r="I28" i="11"/>
  <c r="L28" i="11"/>
  <c r="I22" i="11"/>
  <c r="M62" i="11"/>
  <c r="N62" i="11" s="1"/>
  <c r="I60" i="11"/>
  <c r="N60" i="11" s="1"/>
  <c r="I33" i="11"/>
  <c r="L48" i="11"/>
  <c r="M48" i="11" s="1"/>
  <c r="N48" i="11" s="1"/>
  <c r="M38" i="11"/>
  <c r="I64" i="11"/>
  <c r="F99" i="11"/>
  <c r="D100" i="11"/>
  <c r="F100" i="11" s="1"/>
  <c r="L51" i="11"/>
  <c r="M51" i="11" s="1"/>
  <c r="I51" i="11"/>
  <c r="L34" i="11"/>
  <c r="M34" i="11" s="1"/>
  <c r="I34" i="11"/>
  <c r="L66" i="11"/>
  <c r="M66" i="11" s="1"/>
  <c r="I66" i="11"/>
  <c r="I20" i="11"/>
  <c r="L20" i="11"/>
  <c r="M20" i="11" s="1"/>
  <c r="I35" i="11"/>
  <c r="L35" i="11"/>
  <c r="M35" i="11" s="1"/>
  <c r="L44" i="11"/>
  <c r="M44" i="11" s="1"/>
  <c r="I44" i="11"/>
  <c r="I67" i="11"/>
  <c r="L67" i="11"/>
  <c r="M67" i="11" s="1"/>
  <c r="I29" i="11"/>
  <c r="L29" i="11"/>
  <c r="M29" i="11" s="1"/>
  <c r="I68" i="11"/>
  <c r="L68" i="11"/>
  <c r="M68" i="11" s="1"/>
  <c r="N40" i="11"/>
  <c r="I59" i="11"/>
  <c r="L59" i="11"/>
  <c r="M59" i="11" s="1"/>
  <c r="L39" i="11"/>
  <c r="M39" i="11" s="1"/>
  <c r="I39" i="11"/>
  <c r="I24" i="11"/>
  <c r="L24" i="11"/>
  <c r="M24" i="11" s="1"/>
  <c r="L45" i="11"/>
  <c r="M45" i="11" s="1"/>
  <c r="I45" i="11"/>
  <c r="I23" i="11"/>
  <c r="L23" i="11"/>
  <c r="M23" i="11" s="1"/>
  <c r="I32" i="11"/>
  <c r="N32" i="11" s="1"/>
  <c r="I38" i="11"/>
  <c r="N38" i="11" s="1"/>
  <c r="L21" i="11"/>
  <c r="M21" i="11" s="1"/>
  <c r="N21" i="11" s="1"/>
  <c r="N58" i="11"/>
  <c r="L33" i="11"/>
  <c r="M33" i="11" s="1"/>
  <c r="I65" i="11"/>
  <c r="L61" i="11"/>
  <c r="M61" i="11" s="1"/>
  <c r="N61" i="11" s="1"/>
  <c r="M28" i="11"/>
  <c r="N28" i="11" s="1"/>
  <c r="L57" i="11"/>
  <c r="M57" i="11" s="1"/>
  <c r="I40" i="11"/>
  <c r="I19" i="11"/>
  <c r="L22" i="11"/>
  <c r="M22" i="11" s="1"/>
  <c r="I57" i="11"/>
  <c r="M63" i="11"/>
  <c r="N63" i="11" s="1"/>
  <c r="M56" i="11"/>
  <c r="N56" i="11" s="1"/>
  <c r="M19" i="11"/>
  <c r="K571" i="11"/>
  <c r="K570" i="11"/>
  <c r="A572" i="11"/>
  <c r="A569" i="11"/>
  <c r="A568" i="11"/>
  <c r="F570" i="11"/>
  <c r="L570" i="11" s="1"/>
  <c r="F571" i="11"/>
  <c r="I571" i="11" s="1"/>
  <c r="K565" i="11"/>
  <c r="K564" i="11"/>
  <c r="K555" i="11"/>
  <c r="K552" i="11"/>
  <c r="K549" i="11"/>
  <c r="K548" i="11"/>
  <c r="K547" i="11"/>
  <c r="K544" i="11"/>
  <c r="K543" i="11"/>
  <c r="K542" i="11"/>
  <c r="K541" i="11"/>
  <c r="K540" i="11"/>
  <c r="K539" i="11"/>
  <c r="K538" i="11"/>
  <c r="K537" i="11"/>
  <c r="K536" i="11"/>
  <c r="K533" i="11"/>
  <c r="K532" i="11"/>
  <c r="K531" i="11"/>
  <c r="K530" i="11"/>
  <c r="K529" i="11"/>
  <c r="K526" i="11"/>
  <c r="K525" i="11"/>
  <c r="K524" i="11"/>
  <c r="K523" i="11"/>
  <c r="K522" i="11"/>
  <c r="K514" i="11"/>
  <c r="K506" i="11"/>
  <c r="A566" i="11"/>
  <c r="A563" i="11"/>
  <c r="A562" i="11"/>
  <c r="A554" i="11"/>
  <c r="A553" i="11"/>
  <c r="A551" i="11"/>
  <c r="A550" i="11"/>
  <c r="A546" i="11"/>
  <c r="A545" i="11"/>
  <c r="A535" i="11"/>
  <c r="A534" i="11"/>
  <c r="A528" i="11"/>
  <c r="A527" i="11"/>
  <c r="A521" i="11"/>
  <c r="A520" i="11"/>
  <c r="A505" i="11"/>
  <c r="A504" i="11"/>
  <c r="F506" i="11"/>
  <c r="L506" i="11" s="1"/>
  <c r="D507" i="11"/>
  <c r="F507" i="11" s="1"/>
  <c r="D508" i="11"/>
  <c r="F508" i="11" s="1"/>
  <c r="D509" i="11"/>
  <c r="F509" i="11" s="1"/>
  <c r="D510" i="11"/>
  <c r="F510" i="11" s="1"/>
  <c r="D511" i="11"/>
  <c r="F511" i="11" s="1"/>
  <c r="D512" i="11"/>
  <c r="F512" i="11" s="1"/>
  <c r="D513" i="11"/>
  <c r="F513" i="11" s="1"/>
  <c r="F514" i="11"/>
  <c r="I514" i="11" s="1"/>
  <c r="D515" i="11"/>
  <c r="F515" i="11" s="1"/>
  <c r="D516" i="11"/>
  <c r="F516" i="11" s="1"/>
  <c r="D517" i="11"/>
  <c r="F517" i="11" s="1"/>
  <c r="D518" i="11"/>
  <c r="F518" i="11" s="1"/>
  <c r="D519" i="11"/>
  <c r="F519" i="11" s="1"/>
  <c r="F522" i="11"/>
  <c r="L522" i="11" s="1"/>
  <c r="F523" i="11"/>
  <c r="L523" i="11" s="1"/>
  <c r="M523" i="11" s="1"/>
  <c r="F524" i="11"/>
  <c r="L524" i="11" s="1"/>
  <c r="F525" i="11"/>
  <c r="L525" i="11" s="1"/>
  <c r="F526" i="11"/>
  <c r="I526" i="11" s="1"/>
  <c r="F529" i="11"/>
  <c r="L529" i="11" s="1"/>
  <c r="F530" i="11"/>
  <c r="I530" i="11" s="1"/>
  <c r="F531" i="11"/>
  <c r="L531" i="11" s="1"/>
  <c r="M531" i="11" s="1"/>
  <c r="F532" i="11"/>
  <c r="L532" i="11" s="1"/>
  <c r="F533" i="11"/>
  <c r="L533" i="11" s="1"/>
  <c r="F536" i="11"/>
  <c r="L536" i="11" s="1"/>
  <c r="F537" i="11"/>
  <c r="L537" i="11" s="1"/>
  <c r="F538" i="11"/>
  <c r="L538" i="11" s="1"/>
  <c r="F539" i="11"/>
  <c r="L539" i="11" s="1"/>
  <c r="M539" i="11" s="1"/>
  <c r="F540" i="11"/>
  <c r="L540" i="11" s="1"/>
  <c r="F541" i="11"/>
  <c r="I541" i="11" s="1"/>
  <c r="F542" i="11"/>
  <c r="L542" i="11" s="1"/>
  <c r="F543" i="11"/>
  <c r="I543" i="11" s="1"/>
  <c r="F544" i="11"/>
  <c r="L544" i="11" s="1"/>
  <c r="F547" i="11"/>
  <c r="I547" i="11" s="1"/>
  <c r="F548" i="11"/>
  <c r="L548" i="11" s="1"/>
  <c r="M548" i="11" s="1"/>
  <c r="F549" i="11"/>
  <c r="I549" i="11" s="1"/>
  <c r="F552" i="11"/>
  <c r="L552" i="11" s="1"/>
  <c r="F555" i="11"/>
  <c r="L555" i="11" s="1"/>
  <c r="F556" i="11"/>
  <c r="F557" i="11"/>
  <c r="F558" i="11"/>
  <c r="F559" i="11"/>
  <c r="F560" i="11"/>
  <c r="F561" i="11"/>
  <c r="F564" i="11"/>
  <c r="L564" i="11" s="1"/>
  <c r="F565" i="11"/>
  <c r="L565" i="11" s="1"/>
  <c r="K499" i="11"/>
  <c r="K496" i="11"/>
  <c r="K495" i="11"/>
  <c r="K494" i="11"/>
  <c r="K491" i="11"/>
  <c r="K490" i="11"/>
  <c r="K489" i="11"/>
  <c r="K488" i="11"/>
  <c r="K487" i="11"/>
  <c r="K484" i="11"/>
  <c r="K483" i="11"/>
  <c r="K482" i="11"/>
  <c r="K479" i="11"/>
  <c r="K478" i="11"/>
  <c r="K477" i="11"/>
  <c r="K476" i="11"/>
  <c r="K475" i="11"/>
  <c r="K474" i="11"/>
  <c r="K473" i="11"/>
  <c r="K472" i="11"/>
  <c r="K471" i="11"/>
  <c r="K470" i="11"/>
  <c r="K469" i="11"/>
  <c r="K461" i="11"/>
  <c r="K460" i="11"/>
  <c r="K459" i="11"/>
  <c r="K456" i="11"/>
  <c r="K455" i="11"/>
  <c r="K454" i="11"/>
  <c r="K453" i="11"/>
  <c r="K452" i="11"/>
  <c r="K451" i="11"/>
  <c r="K450" i="11"/>
  <c r="K447" i="11"/>
  <c r="A502" i="11"/>
  <c r="A501" i="11"/>
  <c r="A500" i="11"/>
  <c r="A498" i="11"/>
  <c r="A497" i="11"/>
  <c r="A493" i="11"/>
  <c r="A492" i="11"/>
  <c r="A486" i="11"/>
  <c r="A485" i="11"/>
  <c r="A481" i="11"/>
  <c r="A480" i="11"/>
  <c r="A468" i="11"/>
  <c r="A467" i="11"/>
  <c r="A464" i="11"/>
  <c r="A463" i="11"/>
  <c r="A462" i="11"/>
  <c r="A458" i="11"/>
  <c r="A457" i="11"/>
  <c r="A449" i="11"/>
  <c r="A448" i="11"/>
  <c r="A446" i="11"/>
  <c r="A445" i="11"/>
  <c r="A444" i="11"/>
  <c r="A443" i="11"/>
  <c r="F447" i="11"/>
  <c r="L447" i="11" s="1"/>
  <c r="F450" i="11"/>
  <c r="L450" i="11" s="1"/>
  <c r="F451" i="11"/>
  <c r="L451" i="11" s="1"/>
  <c r="M451" i="11" s="1"/>
  <c r="F452" i="11"/>
  <c r="I452" i="11" s="1"/>
  <c r="F453" i="11"/>
  <c r="L453" i="11" s="1"/>
  <c r="F454" i="11"/>
  <c r="L454" i="11" s="1"/>
  <c r="F455" i="11"/>
  <c r="L455" i="11" s="1"/>
  <c r="M455" i="11" s="1"/>
  <c r="F456" i="11"/>
  <c r="L456" i="11" s="1"/>
  <c r="M456" i="11" s="1"/>
  <c r="F459" i="11"/>
  <c r="L459" i="11" s="1"/>
  <c r="F460" i="11"/>
  <c r="L460" i="11" s="1"/>
  <c r="F461" i="11"/>
  <c r="I461" i="11" s="1"/>
  <c r="F465" i="11"/>
  <c r="F466" i="11"/>
  <c r="F469" i="11"/>
  <c r="L469" i="11" s="1"/>
  <c r="F470" i="11"/>
  <c r="L470" i="11" s="1"/>
  <c r="M470" i="11" s="1"/>
  <c r="F471" i="11"/>
  <c r="I471" i="11" s="1"/>
  <c r="F472" i="11"/>
  <c r="L472" i="11" s="1"/>
  <c r="M472" i="11" s="1"/>
  <c r="F473" i="11"/>
  <c r="L473" i="11" s="1"/>
  <c r="F474" i="11"/>
  <c r="L474" i="11" s="1"/>
  <c r="F475" i="11"/>
  <c r="L475" i="11" s="1"/>
  <c r="F476" i="11"/>
  <c r="L476" i="11" s="1"/>
  <c r="F477" i="11"/>
  <c r="I477" i="11" s="1"/>
  <c r="F478" i="11"/>
  <c r="L478" i="11" s="1"/>
  <c r="F479" i="11"/>
  <c r="L479" i="11" s="1"/>
  <c r="F482" i="11"/>
  <c r="L482" i="11" s="1"/>
  <c r="M482" i="11" s="1"/>
  <c r="F483" i="11"/>
  <c r="I483" i="11" s="1"/>
  <c r="F484" i="11"/>
  <c r="L484" i="11" s="1"/>
  <c r="F487" i="11"/>
  <c r="I487" i="11" s="1"/>
  <c r="F488" i="11"/>
  <c r="L488" i="11" s="1"/>
  <c r="F489" i="11"/>
  <c r="I489" i="11" s="1"/>
  <c r="F490" i="11"/>
  <c r="L490" i="11" s="1"/>
  <c r="F491" i="11"/>
  <c r="I491" i="11" s="1"/>
  <c r="F494" i="11"/>
  <c r="L494" i="11" s="1"/>
  <c r="M494" i="11" s="1"/>
  <c r="F495" i="11"/>
  <c r="L495" i="11" s="1"/>
  <c r="F496" i="11"/>
  <c r="L496" i="11" s="1"/>
  <c r="F499" i="11"/>
  <c r="I499" i="11" s="1"/>
  <c r="K438" i="11"/>
  <c r="K437" i="11"/>
  <c r="K436" i="11"/>
  <c r="K435" i="11"/>
  <c r="K434" i="11"/>
  <c r="K433" i="11"/>
  <c r="K432" i="11"/>
  <c r="K429" i="11"/>
  <c r="K428" i="11"/>
  <c r="K425" i="11"/>
  <c r="K422" i="11"/>
  <c r="K419" i="11"/>
  <c r="K415" i="11"/>
  <c r="K414" i="11"/>
  <c r="K411" i="11"/>
  <c r="K410" i="11"/>
  <c r="K409" i="11"/>
  <c r="K408" i="11"/>
  <c r="K407" i="11"/>
  <c r="K404" i="11"/>
  <c r="K403" i="11"/>
  <c r="K399" i="11"/>
  <c r="K396" i="11"/>
  <c r="K395" i="11"/>
  <c r="K391" i="11"/>
  <c r="K392" i="11"/>
  <c r="K390" i="11"/>
  <c r="A441" i="11"/>
  <c r="A440" i="11"/>
  <c r="A439" i="11"/>
  <c r="A431" i="11"/>
  <c r="A430" i="11"/>
  <c r="A427" i="11"/>
  <c r="A426" i="11"/>
  <c r="A424" i="11"/>
  <c r="A423" i="11"/>
  <c r="A421" i="11"/>
  <c r="A420" i="11"/>
  <c r="A418" i="11"/>
  <c r="A417" i="11"/>
  <c r="A416" i="11"/>
  <c r="A413" i="11"/>
  <c r="A412" i="11"/>
  <c r="A406" i="11"/>
  <c r="A405" i="11"/>
  <c r="A402" i="11"/>
  <c r="A401" i="11"/>
  <c r="A400" i="11"/>
  <c r="A398" i="11"/>
  <c r="A397" i="11"/>
  <c r="A394" i="11"/>
  <c r="A393" i="11"/>
  <c r="A389" i="11"/>
  <c r="A388" i="11"/>
  <c r="A387" i="11"/>
  <c r="F390" i="11"/>
  <c r="I390" i="11" s="1"/>
  <c r="F391" i="11"/>
  <c r="L391" i="11" s="1"/>
  <c r="F392" i="11"/>
  <c r="I392" i="11" s="1"/>
  <c r="F395" i="11"/>
  <c r="L395" i="11" s="1"/>
  <c r="F396" i="11"/>
  <c r="L396" i="11" s="1"/>
  <c r="F399" i="11"/>
  <c r="L399" i="11" s="1"/>
  <c r="M399" i="11" s="1"/>
  <c r="F403" i="11"/>
  <c r="L403" i="11" s="1"/>
  <c r="F404" i="11"/>
  <c r="I404" i="11" s="1"/>
  <c r="F407" i="11"/>
  <c r="L407" i="11" s="1"/>
  <c r="F408" i="11"/>
  <c r="L408" i="11" s="1"/>
  <c r="F409" i="11"/>
  <c r="L409" i="11" s="1"/>
  <c r="F410" i="11"/>
  <c r="L410" i="11" s="1"/>
  <c r="M410" i="11" s="1"/>
  <c r="F411" i="11"/>
  <c r="L411" i="11" s="1"/>
  <c r="M411" i="11" s="1"/>
  <c r="F414" i="11"/>
  <c r="F415" i="11"/>
  <c r="I415" i="11" s="1"/>
  <c r="F419" i="11"/>
  <c r="L419" i="11" s="1"/>
  <c r="F422" i="11"/>
  <c r="F425" i="11"/>
  <c r="L425" i="11" s="1"/>
  <c r="M425" i="11" s="1"/>
  <c r="F428" i="11"/>
  <c r="I428" i="11" s="1"/>
  <c r="F429" i="11"/>
  <c r="L429" i="11" s="1"/>
  <c r="F432" i="11"/>
  <c r="L432" i="11" s="1"/>
  <c r="F433" i="11"/>
  <c r="L433" i="11" s="1"/>
  <c r="F434" i="11"/>
  <c r="L434" i="11" s="1"/>
  <c r="F435" i="11"/>
  <c r="L435" i="11" s="1"/>
  <c r="F436" i="11"/>
  <c r="L436" i="11" s="1"/>
  <c r="M436" i="11" s="1"/>
  <c r="F437" i="11"/>
  <c r="L437" i="11" s="1"/>
  <c r="F438" i="11"/>
  <c r="L438" i="11" s="1"/>
  <c r="K383" i="11"/>
  <c r="K380" i="11"/>
  <c r="K379" i="11"/>
  <c r="A385" i="11"/>
  <c r="A384" i="11"/>
  <c r="A382" i="11"/>
  <c r="A381" i="11"/>
  <c r="A378" i="11"/>
  <c r="A377" i="11"/>
  <c r="F379" i="11"/>
  <c r="I379" i="11" s="1"/>
  <c r="F380" i="11"/>
  <c r="I380" i="11" s="1"/>
  <c r="F383" i="11"/>
  <c r="L383" i="11" s="1"/>
  <c r="K370" i="11"/>
  <c r="K371" i="11"/>
  <c r="K372" i="11"/>
  <c r="K373" i="11"/>
  <c r="K374" i="11"/>
  <c r="K369" i="11"/>
  <c r="A375" i="11"/>
  <c r="A368" i="11"/>
  <c r="A367" i="11"/>
  <c r="F369" i="11"/>
  <c r="I369" i="11" s="1"/>
  <c r="F370" i="11"/>
  <c r="I370" i="11" s="1"/>
  <c r="F371" i="11"/>
  <c r="I371" i="11" s="1"/>
  <c r="F372" i="11"/>
  <c r="I372" i="11" s="1"/>
  <c r="F373" i="11"/>
  <c r="I373" i="11" s="1"/>
  <c r="F374" i="11"/>
  <c r="L374" i="11" s="1"/>
  <c r="K362" i="11"/>
  <c r="K363" i="11"/>
  <c r="K364" i="11"/>
  <c r="K361" i="11"/>
  <c r="A365" i="11"/>
  <c r="A360" i="11"/>
  <c r="A359" i="11"/>
  <c r="F361" i="11"/>
  <c r="L361" i="11" s="1"/>
  <c r="F362" i="11"/>
  <c r="I362" i="11" s="1"/>
  <c r="F363" i="11"/>
  <c r="I363" i="11" s="1"/>
  <c r="F364" i="11"/>
  <c r="I364" i="11" s="1"/>
  <c r="K356" i="11"/>
  <c r="K355" i="11"/>
  <c r="K352" i="11"/>
  <c r="K349" i="11"/>
  <c r="K346" i="11"/>
  <c r="K345" i="11"/>
  <c r="K344" i="11"/>
  <c r="K343" i="11"/>
  <c r="K342" i="11"/>
  <c r="K341" i="11"/>
  <c r="K340" i="11"/>
  <c r="K339" i="11"/>
  <c r="K338" i="11"/>
  <c r="K337" i="11"/>
  <c r="K336" i="11"/>
  <c r="K335" i="11"/>
  <c r="K334" i="11"/>
  <c r="K333" i="11"/>
  <c r="K332" i="11"/>
  <c r="K331" i="11"/>
  <c r="K330" i="11"/>
  <c r="K329" i="11"/>
  <c r="K328" i="11"/>
  <c r="K327" i="11"/>
  <c r="K324" i="11"/>
  <c r="K323" i="11"/>
  <c r="K322" i="11"/>
  <c r="K321" i="11"/>
  <c r="K320" i="11"/>
  <c r="K319" i="11"/>
  <c r="K318" i="11"/>
  <c r="K317" i="11"/>
  <c r="K316" i="11"/>
  <c r="K315" i="11"/>
  <c r="K314" i="11"/>
  <c r="K313" i="11"/>
  <c r="K312" i="11"/>
  <c r="K311" i="11"/>
  <c r="K308" i="11"/>
  <c r="K305" i="11"/>
  <c r="K304" i="11"/>
  <c r="K303" i="11"/>
  <c r="K302" i="11"/>
  <c r="K301" i="11"/>
  <c r="K300" i="11"/>
  <c r="K299" i="11"/>
  <c r="K298" i="11"/>
  <c r="K297" i="11"/>
  <c r="K296" i="11"/>
  <c r="K295" i="11"/>
  <c r="K294" i="11"/>
  <c r="K293" i="11"/>
  <c r="K292" i="11"/>
  <c r="K291" i="11"/>
  <c r="K290" i="11"/>
  <c r="K287" i="11"/>
  <c r="K282" i="11"/>
  <c r="K277" i="11"/>
  <c r="K272" i="11"/>
  <c r="K269" i="11"/>
  <c r="K268" i="11"/>
  <c r="K263" i="11"/>
  <c r="K260" i="11"/>
  <c r="K259" i="11"/>
  <c r="K258" i="11"/>
  <c r="K253" i="11"/>
  <c r="K248" i="11"/>
  <c r="K243" i="11"/>
  <c r="K238" i="11"/>
  <c r="K235" i="11"/>
  <c r="K234" i="11"/>
  <c r="K233" i="11"/>
  <c r="K228" i="11"/>
  <c r="K223" i="11"/>
  <c r="K218" i="11"/>
  <c r="K213" i="11"/>
  <c r="K210" i="11"/>
  <c r="K209" i="11"/>
  <c r="K208" i="11"/>
  <c r="K203" i="11"/>
  <c r="K198" i="11"/>
  <c r="K195" i="11"/>
  <c r="K194" i="11"/>
  <c r="K193" i="11"/>
  <c r="K188" i="11"/>
  <c r="K183" i="11"/>
  <c r="K178" i="11"/>
  <c r="K175" i="11"/>
  <c r="K174" i="11"/>
  <c r="K173" i="11"/>
  <c r="K172" i="11"/>
  <c r="K167" i="11"/>
  <c r="K162" i="11"/>
  <c r="K157" i="11"/>
  <c r="K152" i="11"/>
  <c r="K147" i="11"/>
  <c r="A357" i="11"/>
  <c r="A354" i="11"/>
  <c r="A353" i="11"/>
  <c r="A351" i="11"/>
  <c r="A350" i="11"/>
  <c r="A348" i="11"/>
  <c r="A347" i="11"/>
  <c r="A326" i="11"/>
  <c r="A325" i="11"/>
  <c r="A310" i="11"/>
  <c r="A309" i="11"/>
  <c r="A307" i="11"/>
  <c r="A306" i="11"/>
  <c r="A289" i="11"/>
  <c r="A288" i="11"/>
  <c r="A286" i="11"/>
  <c r="A285" i="11"/>
  <c r="A284" i="11"/>
  <c r="A283" i="11"/>
  <c r="A281" i="11"/>
  <c r="A280" i="11"/>
  <c r="A279" i="11"/>
  <c r="A278" i="11"/>
  <c r="A276" i="11"/>
  <c r="A275" i="11"/>
  <c r="A274" i="11"/>
  <c r="A273" i="11"/>
  <c r="A271" i="11"/>
  <c r="A270" i="11"/>
  <c r="A267" i="11"/>
  <c r="A266" i="11"/>
  <c r="A265" i="11"/>
  <c r="A264" i="11"/>
  <c r="A262" i="11"/>
  <c r="A261" i="11"/>
  <c r="A257" i="11"/>
  <c r="A256" i="11"/>
  <c r="A255" i="11"/>
  <c r="A254" i="11"/>
  <c r="A252" i="11"/>
  <c r="A251" i="11"/>
  <c r="A250" i="11"/>
  <c r="A249" i="11"/>
  <c r="A247" i="11"/>
  <c r="A246" i="11"/>
  <c r="A245" i="11"/>
  <c r="A244" i="11"/>
  <c r="A242" i="11"/>
  <c r="A241" i="11"/>
  <c r="A240" i="11"/>
  <c r="A239" i="11"/>
  <c r="A237" i="11"/>
  <c r="A236" i="11"/>
  <c r="A232" i="11"/>
  <c r="A231" i="11"/>
  <c r="A230" i="11"/>
  <c r="A229" i="11"/>
  <c r="A227" i="11"/>
  <c r="A226" i="11"/>
  <c r="A225" i="11"/>
  <c r="A224" i="11"/>
  <c r="A222" i="11"/>
  <c r="A221" i="11"/>
  <c r="A220" i="11"/>
  <c r="A219" i="11"/>
  <c r="A217" i="11"/>
  <c r="A216" i="11"/>
  <c r="A215" i="11"/>
  <c r="A214" i="11"/>
  <c r="A212" i="11"/>
  <c r="A211" i="11"/>
  <c r="A207" i="11"/>
  <c r="A206" i="11"/>
  <c r="A205" i="11"/>
  <c r="A204" i="11"/>
  <c r="A202" i="11"/>
  <c r="A201" i="11"/>
  <c r="A200" i="11"/>
  <c r="A199" i="11"/>
  <c r="A197" i="11"/>
  <c r="A196" i="11"/>
  <c r="A192" i="11"/>
  <c r="A191" i="11"/>
  <c r="A190" i="11"/>
  <c r="A189" i="11"/>
  <c r="A187" i="11"/>
  <c r="A186" i="11"/>
  <c r="A185" i="11"/>
  <c r="A184" i="11"/>
  <c r="A182" i="11"/>
  <c r="A181" i="11"/>
  <c r="A180" i="11"/>
  <c r="A179" i="11"/>
  <c r="A177" i="11"/>
  <c r="A176" i="11"/>
  <c r="A171" i="11"/>
  <c r="A170" i="11"/>
  <c r="A169" i="11"/>
  <c r="A168" i="11"/>
  <c r="A166" i="11"/>
  <c r="A165" i="11"/>
  <c r="A164" i="11"/>
  <c r="A163" i="11"/>
  <c r="A161" i="11"/>
  <c r="A160" i="11"/>
  <c r="A159" i="11"/>
  <c r="A158" i="11"/>
  <c r="A156" i="11"/>
  <c r="A155" i="11"/>
  <c r="A154" i="11"/>
  <c r="A153" i="11"/>
  <c r="A151" i="11"/>
  <c r="A150" i="11"/>
  <c r="A149" i="11"/>
  <c r="A148" i="11"/>
  <c r="A146" i="11"/>
  <c r="A145" i="11"/>
  <c r="A144" i="11"/>
  <c r="F147" i="11"/>
  <c r="D148" i="11" s="1"/>
  <c r="D149" i="11" s="1"/>
  <c r="F152" i="11"/>
  <c r="L152" i="11" s="1"/>
  <c r="F157" i="11"/>
  <c r="D158" i="11" s="1"/>
  <c r="D159" i="11" s="1"/>
  <c r="F162" i="11"/>
  <c r="L162" i="11" s="1"/>
  <c r="F167" i="11"/>
  <c r="D168" i="11" s="1"/>
  <c r="D171" i="11" s="1"/>
  <c r="F172" i="11"/>
  <c r="L172" i="11" s="1"/>
  <c r="F173" i="11"/>
  <c r="L173" i="11" s="1"/>
  <c r="D174" i="11"/>
  <c r="F174" i="11" s="1"/>
  <c r="F175" i="11"/>
  <c r="I175" i="11" s="1"/>
  <c r="F178" i="11"/>
  <c r="D179" i="11" s="1"/>
  <c r="F183" i="11"/>
  <c r="D184" i="11" s="1"/>
  <c r="F188" i="11"/>
  <c r="D189" i="11" s="1"/>
  <c r="F193" i="11"/>
  <c r="I193" i="11" s="1"/>
  <c r="F194" i="11"/>
  <c r="L194" i="11" s="1"/>
  <c r="D195" i="11"/>
  <c r="F195" i="11" s="1"/>
  <c r="F198" i="11"/>
  <c r="D199" i="11" s="1"/>
  <c r="F203" i="11"/>
  <c r="D204" i="11" s="1"/>
  <c r="F208" i="11"/>
  <c r="L208" i="11" s="1"/>
  <c r="F209" i="11"/>
  <c r="L209" i="11" s="1"/>
  <c r="D210" i="11"/>
  <c r="F210" i="11" s="1"/>
  <c r="D213" i="11"/>
  <c r="F213" i="11" s="1"/>
  <c r="F218" i="11"/>
  <c r="D219" i="11" s="1"/>
  <c r="F223" i="11"/>
  <c r="D224" i="11" s="1"/>
  <c r="F228" i="11"/>
  <c r="D229" i="11" s="1"/>
  <c r="F233" i="11"/>
  <c r="L233" i="11" s="1"/>
  <c r="D234" i="11"/>
  <c r="F234" i="11" s="1"/>
  <c r="F235" i="11"/>
  <c r="L235" i="11" s="1"/>
  <c r="D238" i="11"/>
  <c r="F238" i="11" s="1"/>
  <c r="F243" i="11"/>
  <c r="L243" i="11" s="1"/>
  <c r="F248" i="11"/>
  <c r="L248" i="11" s="1"/>
  <c r="F253" i="11"/>
  <c r="L253" i="11" s="1"/>
  <c r="F258" i="11"/>
  <c r="L258" i="11" s="1"/>
  <c r="D259" i="11"/>
  <c r="F259" i="11" s="1"/>
  <c r="F260" i="11"/>
  <c r="L260" i="11" s="1"/>
  <c r="D263" i="11"/>
  <c r="F263" i="11" s="1"/>
  <c r="F268" i="11"/>
  <c r="L268" i="11" s="1"/>
  <c r="M268" i="11" s="1"/>
  <c r="D269" i="11"/>
  <c r="F269" i="11" s="1"/>
  <c r="L269" i="11" s="1"/>
  <c r="F272" i="11"/>
  <c r="L272" i="11" s="1"/>
  <c r="F277" i="11"/>
  <c r="D278" i="11" s="1"/>
  <c r="F282" i="11"/>
  <c r="D283" i="11" s="1"/>
  <c r="D284" i="11" s="1"/>
  <c r="F287" i="11"/>
  <c r="I287" i="11" s="1"/>
  <c r="F290" i="11"/>
  <c r="L290" i="11" s="1"/>
  <c r="F291" i="11"/>
  <c r="L291" i="11" s="1"/>
  <c r="F292" i="11"/>
  <c r="L292" i="11" s="1"/>
  <c r="F293" i="11"/>
  <c r="L293" i="11" s="1"/>
  <c r="F294" i="11"/>
  <c r="I294" i="11" s="1"/>
  <c r="F295" i="11"/>
  <c r="L295" i="11" s="1"/>
  <c r="F296" i="11"/>
  <c r="L296" i="11" s="1"/>
  <c r="M296" i="11" s="1"/>
  <c r="F297" i="11"/>
  <c r="L297" i="11" s="1"/>
  <c r="F298" i="11"/>
  <c r="L298" i="11" s="1"/>
  <c r="F299" i="11"/>
  <c r="L299" i="11" s="1"/>
  <c r="F300" i="11"/>
  <c r="I300" i="11" s="1"/>
  <c r="F301" i="11"/>
  <c r="L301" i="11" s="1"/>
  <c r="F302" i="11"/>
  <c r="L302" i="11" s="1"/>
  <c r="F303" i="11"/>
  <c r="L303" i="11" s="1"/>
  <c r="F304" i="11"/>
  <c r="L304" i="11" s="1"/>
  <c r="F305" i="11"/>
  <c r="I305" i="11" s="1"/>
  <c r="F308" i="11"/>
  <c r="L308" i="11" s="1"/>
  <c r="F311" i="11"/>
  <c r="L311" i="11" s="1"/>
  <c r="M311" i="11" s="1"/>
  <c r="F312" i="11"/>
  <c r="F313" i="11"/>
  <c r="F314" i="11"/>
  <c r="F315" i="11"/>
  <c r="F316" i="11"/>
  <c r="F317" i="11"/>
  <c r="I317" i="11" s="1"/>
  <c r="F318" i="11"/>
  <c r="F319" i="11"/>
  <c r="F320" i="11"/>
  <c r="F321" i="11"/>
  <c r="I321" i="11" s="1"/>
  <c r="F322" i="11"/>
  <c r="F323" i="11"/>
  <c r="F324" i="11"/>
  <c r="I324" i="11" s="1"/>
  <c r="F327" i="11"/>
  <c r="L327" i="11" s="1"/>
  <c r="F328" i="11"/>
  <c r="I328" i="11" s="1"/>
  <c r="F329" i="11"/>
  <c r="L329" i="11" s="1"/>
  <c r="F330" i="11"/>
  <c r="L330" i="11" s="1"/>
  <c r="F331" i="11"/>
  <c r="L331" i="11" s="1"/>
  <c r="F332" i="11"/>
  <c r="L332" i="11" s="1"/>
  <c r="F333" i="11"/>
  <c r="I333" i="11" s="1"/>
  <c r="F334" i="11"/>
  <c r="L334" i="11" s="1"/>
  <c r="F335" i="11"/>
  <c r="L335" i="11" s="1"/>
  <c r="M335" i="11" s="1"/>
  <c r="F336" i="11"/>
  <c r="L336" i="11" s="1"/>
  <c r="F337" i="11"/>
  <c r="L337" i="11" s="1"/>
  <c r="M337" i="11" s="1"/>
  <c r="F338" i="11"/>
  <c r="L338" i="11" s="1"/>
  <c r="M338" i="11" s="1"/>
  <c r="F339" i="11"/>
  <c r="L339" i="11" s="1"/>
  <c r="F340" i="11"/>
  <c r="L340" i="11" s="1"/>
  <c r="F341" i="11"/>
  <c r="I341" i="11" s="1"/>
  <c r="F342" i="11"/>
  <c r="L342" i="11" s="1"/>
  <c r="F343" i="11"/>
  <c r="L343" i="11" s="1"/>
  <c r="F344" i="11"/>
  <c r="I344" i="11" s="1"/>
  <c r="F345" i="11"/>
  <c r="L345" i="11" s="1"/>
  <c r="F346" i="11"/>
  <c r="L346" i="11" s="1"/>
  <c r="F349" i="11"/>
  <c r="L349" i="11" s="1"/>
  <c r="M349" i="11" s="1"/>
  <c r="F352" i="11"/>
  <c r="I352" i="11" s="1"/>
  <c r="F355" i="11"/>
  <c r="L355" i="11" s="1"/>
  <c r="F356" i="11"/>
  <c r="L356" i="11" s="1"/>
  <c r="K141" i="11"/>
  <c r="K140" i="11"/>
  <c r="K139" i="11"/>
  <c r="K138" i="11"/>
  <c r="K137" i="11"/>
  <c r="K136" i="11"/>
  <c r="K135" i="11"/>
  <c r="K126" i="11"/>
  <c r="K127" i="11"/>
  <c r="K128" i="11"/>
  <c r="K129" i="11"/>
  <c r="K130" i="11"/>
  <c r="K131" i="11"/>
  <c r="K132" i="11"/>
  <c r="K125" i="11"/>
  <c r="A142" i="11"/>
  <c r="A134" i="11"/>
  <c r="A133" i="11"/>
  <c r="A124" i="11"/>
  <c r="A123" i="11"/>
  <c r="F125" i="11"/>
  <c r="L125" i="11" s="1"/>
  <c r="F126" i="11"/>
  <c r="I126" i="11" s="1"/>
  <c r="F127" i="11"/>
  <c r="L127" i="11" s="1"/>
  <c r="F128" i="11"/>
  <c r="I128" i="11" s="1"/>
  <c r="F129" i="11"/>
  <c r="I129" i="11" s="1"/>
  <c r="F130" i="11"/>
  <c r="L130" i="11" s="1"/>
  <c r="M130" i="11" s="1"/>
  <c r="F131" i="11"/>
  <c r="I131" i="11" s="1"/>
  <c r="F132" i="11"/>
  <c r="I132" i="11" s="1"/>
  <c r="F135" i="11"/>
  <c r="L135" i="11" s="1"/>
  <c r="F136" i="11"/>
  <c r="L136" i="11" s="1"/>
  <c r="F137" i="11"/>
  <c r="L137" i="11" s="1"/>
  <c r="F138" i="11"/>
  <c r="L138" i="11" s="1"/>
  <c r="F139" i="11"/>
  <c r="L139" i="11" s="1"/>
  <c r="M139" i="11" s="1"/>
  <c r="F140" i="11"/>
  <c r="I140" i="11" s="1"/>
  <c r="F141" i="11"/>
  <c r="L141" i="11" s="1"/>
  <c r="K112" i="11"/>
  <c r="K113" i="11"/>
  <c r="K114" i="11"/>
  <c r="K115" i="11"/>
  <c r="K116" i="11"/>
  <c r="K117" i="11"/>
  <c r="K118" i="11"/>
  <c r="K119" i="11"/>
  <c r="K120" i="11"/>
  <c r="K111" i="11"/>
  <c r="A121" i="11"/>
  <c r="A110" i="11"/>
  <c r="F111" i="11"/>
  <c r="I111" i="11" s="1"/>
  <c r="F112" i="11"/>
  <c r="I112" i="11" s="1"/>
  <c r="F113" i="11"/>
  <c r="L113" i="11" s="1"/>
  <c r="F114" i="11"/>
  <c r="L114" i="11" s="1"/>
  <c r="F115" i="11"/>
  <c r="I115" i="11" s="1"/>
  <c r="F116" i="11"/>
  <c r="L116" i="11" s="1"/>
  <c r="F117" i="11"/>
  <c r="L117" i="11" s="1"/>
  <c r="F118" i="11"/>
  <c r="I118" i="11" s="1"/>
  <c r="F119" i="11"/>
  <c r="L119" i="11" s="1"/>
  <c r="F120" i="11"/>
  <c r="I120" i="11" s="1"/>
  <c r="A109" i="11"/>
  <c r="K104" i="11"/>
  <c r="K105" i="11"/>
  <c r="K106" i="11"/>
  <c r="A107" i="11"/>
  <c r="A71" i="11"/>
  <c r="K103" i="11"/>
  <c r="F103" i="11"/>
  <c r="L103" i="11" s="1"/>
  <c r="F104" i="11"/>
  <c r="I104" i="11" s="1"/>
  <c r="F105" i="11"/>
  <c r="L105" i="11" s="1"/>
  <c r="F106" i="11"/>
  <c r="I106" i="11" s="1"/>
  <c r="N33" i="11" l="1"/>
  <c r="N65" i="11"/>
  <c r="M408" i="11"/>
  <c r="M260" i="11"/>
  <c r="M253" i="11"/>
  <c r="M303" i="11"/>
  <c r="M329" i="11"/>
  <c r="N68" i="11"/>
  <c r="N67" i="11"/>
  <c r="M473" i="11"/>
  <c r="N22" i="11"/>
  <c r="N29" i="11"/>
  <c r="N19" i="11"/>
  <c r="N35" i="11"/>
  <c r="N24" i="11"/>
  <c r="N23" i="11"/>
  <c r="N20" i="11"/>
  <c r="M474" i="11"/>
  <c r="N45" i="11"/>
  <c r="M409" i="11"/>
  <c r="N59" i="11"/>
  <c r="M208" i="11"/>
  <c r="M301" i="11"/>
  <c r="M429" i="11"/>
  <c r="M450" i="11"/>
  <c r="M565" i="11"/>
  <c r="N66" i="11"/>
  <c r="N57" i="11"/>
  <c r="M453" i="11"/>
  <c r="M340" i="11"/>
  <c r="M298" i="11"/>
  <c r="M272" i="11"/>
  <c r="M396" i="11"/>
  <c r="N34" i="11"/>
  <c r="N39" i="11"/>
  <c r="N44" i="11"/>
  <c r="M476" i="11"/>
  <c r="M459" i="11"/>
  <c r="N51" i="11"/>
  <c r="M116" i="11"/>
  <c r="M479" i="11"/>
  <c r="L369" i="11"/>
  <c r="M369" i="11" s="1"/>
  <c r="I460" i="11"/>
  <c r="L477" i="11"/>
  <c r="M477" i="11" s="1"/>
  <c r="N477" i="11" s="1"/>
  <c r="M342" i="11"/>
  <c r="M330" i="11"/>
  <c r="D249" i="11"/>
  <c r="D250" i="11" s="1"/>
  <c r="M209" i="11"/>
  <c r="M173" i="11"/>
  <c r="M542" i="11"/>
  <c r="M297" i="11"/>
  <c r="M432" i="11"/>
  <c r="I268" i="11"/>
  <c r="N268" i="11" s="1"/>
  <c r="I459" i="11"/>
  <c r="M484" i="11"/>
  <c r="M555" i="11"/>
  <c r="M383" i="11"/>
  <c r="M438" i="11"/>
  <c r="M478" i="11"/>
  <c r="M332" i="11"/>
  <c r="M302" i="11"/>
  <c r="D254" i="11"/>
  <c r="D257" i="11" s="1"/>
  <c r="M437" i="11"/>
  <c r="M391" i="11"/>
  <c r="I403" i="11"/>
  <c r="M495" i="11"/>
  <c r="M564" i="11"/>
  <c r="M172" i="11"/>
  <c r="I336" i="11"/>
  <c r="M434" i="11"/>
  <c r="L465" i="11"/>
  <c r="M465" i="11" s="1"/>
  <c r="I465" i="11"/>
  <c r="L466" i="11"/>
  <c r="M466" i="11" s="1"/>
  <c r="I466" i="11"/>
  <c r="I113" i="11"/>
  <c r="I248" i="11"/>
  <c r="L428" i="11"/>
  <c r="M428" i="11" s="1"/>
  <c r="M460" i="11"/>
  <c r="I565" i="11"/>
  <c r="L305" i="11"/>
  <c r="M305" i="11" s="1"/>
  <c r="N305" i="11" s="1"/>
  <c r="L175" i="11"/>
  <c r="M175" i="11" s="1"/>
  <c r="N175" i="11" s="1"/>
  <c r="M374" i="11"/>
  <c r="L390" i="11"/>
  <c r="M390" i="11" s="1"/>
  <c r="N390" i="11" s="1"/>
  <c r="M552" i="11"/>
  <c r="M506" i="11"/>
  <c r="M127" i="11"/>
  <c r="M295" i="11"/>
  <c r="M194" i="11"/>
  <c r="D153" i="11"/>
  <c r="D154" i="11" s="1"/>
  <c r="L287" i="11"/>
  <c r="M287" i="11" s="1"/>
  <c r="M403" i="11"/>
  <c r="M533" i="11"/>
  <c r="M233" i="11"/>
  <c r="I410" i="11"/>
  <c r="N410" i="11" s="1"/>
  <c r="M490" i="11"/>
  <c r="I454" i="11"/>
  <c r="I484" i="11"/>
  <c r="I531" i="11"/>
  <c r="N531" i="11" s="1"/>
  <c r="I302" i="11"/>
  <c r="M346" i="11"/>
  <c r="M304" i="11"/>
  <c r="I157" i="11"/>
  <c r="M488" i="11"/>
  <c r="M544" i="11"/>
  <c r="I188" i="11"/>
  <c r="M291" i="11"/>
  <c r="I233" i="11"/>
  <c r="I396" i="11"/>
  <c r="I475" i="11"/>
  <c r="L487" i="11"/>
  <c r="M487" i="11" s="1"/>
  <c r="N487" i="11" s="1"/>
  <c r="L294" i="11"/>
  <c r="M294" i="11" s="1"/>
  <c r="N294" i="11" s="1"/>
  <c r="L549" i="11"/>
  <c r="M549" i="11" s="1"/>
  <c r="N549" i="11" s="1"/>
  <c r="I210" i="11"/>
  <c r="L210" i="11"/>
  <c r="M210" i="11" s="1"/>
  <c r="I434" i="11"/>
  <c r="L315" i="11"/>
  <c r="M315" i="11" s="1"/>
  <c r="I315" i="11"/>
  <c r="I450" i="11"/>
  <c r="I470" i="11"/>
  <c r="N470" i="11" s="1"/>
  <c r="I478" i="11"/>
  <c r="I525" i="11"/>
  <c r="L543" i="11"/>
  <c r="M543" i="11" s="1"/>
  <c r="N543" i="11" s="1"/>
  <c r="L415" i="11"/>
  <c r="M415" i="11" s="1"/>
  <c r="I544" i="11"/>
  <c r="L300" i="11"/>
  <c r="M300" i="11" s="1"/>
  <c r="N300" i="11" s="1"/>
  <c r="L313" i="11"/>
  <c r="M313" i="11" s="1"/>
  <c r="I313" i="11"/>
  <c r="L370" i="11"/>
  <c r="M370" i="11" s="1"/>
  <c r="N370" i="11" s="1"/>
  <c r="M525" i="11"/>
  <c r="I506" i="11"/>
  <c r="L316" i="11"/>
  <c r="M316" i="11" s="1"/>
  <c r="I316" i="11"/>
  <c r="L131" i="11"/>
  <c r="M131" i="11" s="1"/>
  <c r="I172" i="11"/>
  <c r="M269" i="11"/>
  <c r="L111" i="11"/>
  <c r="M111" i="11" s="1"/>
  <c r="N111" i="11" s="1"/>
  <c r="M356" i="11"/>
  <c r="L312" i="11"/>
  <c r="M312" i="11" s="1"/>
  <c r="I312" i="11"/>
  <c r="M235" i="11"/>
  <c r="M162" i="11"/>
  <c r="L328" i="11"/>
  <c r="M328" i="11" s="1"/>
  <c r="N328" i="11" s="1"/>
  <c r="I337" i="11"/>
  <c r="N337" i="11" s="1"/>
  <c r="I349" i="11"/>
  <c r="N349" i="11" s="1"/>
  <c r="L380" i="11"/>
  <c r="M380" i="11" s="1"/>
  <c r="N380" i="11" s="1"/>
  <c r="M540" i="11"/>
  <c r="M524" i="11"/>
  <c r="I529" i="11"/>
  <c r="I538" i="11"/>
  <c r="L188" i="11"/>
  <c r="M188" i="11" s="1"/>
  <c r="M327" i="11"/>
  <c r="M355" i="11"/>
  <c r="L323" i="11"/>
  <c r="M323" i="11" s="1"/>
  <c r="I323" i="11"/>
  <c r="I223" i="11"/>
  <c r="I253" i="11"/>
  <c r="N253" i="11" s="1"/>
  <c r="I282" i="11"/>
  <c r="L317" i="11"/>
  <c r="M317" i="11" s="1"/>
  <c r="N317" i="11" s="1"/>
  <c r="I409" i="11"/>
  <c r="I425" i="11"/>
  <c r="N425" i="11" s="1"/>
  <c r="I437" i="11"/>
  <c r="N437" i="11" s="1"/>
  <c r="M454" i="11"/>
  <c r="L491" i="11"/>
  <c r="M491" i="11" s="1"/>
  <c r="N491" i="11" s="1"/>
  <c r="M339" i="11"/>
  <c r="M125" i="11"/>
  <c r="M336" i="11"/>
  <c r="L322" i="11"/>
  <c r="M322" i="11" s="1"/>
  <c r="I322" i="11"/>
  <c r="M308" i="11"/>
  <c r="I330" i="11"/>
  <c r="L422" i="11"/>
  <c r="M422" i="11" s="1"/>
  <c r="I422" i="11"/>
  <c r="L452" i="11"/>
  <c r="M452" i="11" s="1"/>
  <c r="N452" i="11" s="1"/>
  <c r="L461" i="11"/>
  <c r="M461" i="11" s="1"/>
  <c r="N461" i="11" s="1"/>
  <c r="I482" i="11"/>
  <c r="N482" i="11" s="1"/>
  <c r="M522" i="11"/>
  <c r="L314" i="11"/>
  <c r="M314" i="11" s="1"/>
  <c r="I314" i="11"/>
  <c r="M117" i="11"/>
  <c r="M152" i="11"/>
  <c r="I203" i="11"/>
  <c r="L223" i="11"/>
  <c r="M223" i="11" s="1"/>
  <c r="I298" i="11"/>
  <c r="N298" i="11" s="1"/>
  <c r="I355" i="11"/>
  <c r="M395" i="11"/>
  <c r="I391" i="11"/>
  <c r="N391" i="11" s="1"/>
  <c r="I438" i="11"/>
  <c r="M537" i="11"/>
  <c r="L514" i="11"/>
  <c r="M514" i="11" s="1"/>
  <c r="N514" i="11" s="1"/>
  <c r="L530" i="11"/>
  <c r="M530" i="11" s="1"/>
  <c r="N530" i="11" s="1"/>
  <c r="M292" i="11"/>
  <c r="M345" i="11"/>
  <c r="L319" i="11"/>
  <c r="M319" i="11" s="1"/>
  <c r="I319" i="11"/>
  <c r="L414" i="11"/>
  <c r="M414" i="11" s="1"/>
  <c r="I414" i="11"/>
  <c r="M469" i="11"/>
  <c r="M334" i="11"/>
  <c r="M114" i="11"/>
  <c r="M135" i="11"/>
  <c r="L318" i="11"/>
  <c r="M318" i="11" s="1"/>
  <c r="I318" i="11"/>
  <c r="M290" i="11"/>
  <c r="I291" i="11"/>
  <c r="L321" i="11"/>
  <c r="M321" i="11" s="1"/>
  <c r="N321" i="11" s="1"/>
  <c r="M447" i="11"/>
  <c r="M532" i="11"/>
  <c r="I523" i="11"/>
  <c r="N523" i="11" s="1"/>
  <c r="L541" i="11"/>
  <c r="M541" i="11" s="1"/>
  <c r="N541" i="11" s="1"/>
  <c r="L320" i="11"/>
  <c r="I320" i="11"/>
  <c r="M258" i="11"/>
  <c r="L203" i="11"/>
  <c r="M203" i="11" s="1"/>
  <c r="M343" i="11"/>
  <c r="M331" i="11"/>
  <c r="L157" i="11"/>
  <c r="M157" i="11" s="1"/>
  <c r="L373" i="11"/>
  <c r="M373" i="11" s="1"/>
  <c r="N373" i="11" s="1"/>
  <c r="M496" i="11"/>
  <c r="I447" i="11"/>
  <c r="I532" i="11"/>
  <c r="N369" i="11"/>
  <c r="M361" i="11"/>
  <c r="L344" i="11"/>
  <c r="M344" i="11" s="1"/>
  <c r="N344" i="11" s="1"/>
  <c r="D264" i="11"/>
  <c r="D266" i="11" s="1"/>
  <c r="I263" i="11"/>
  <c r="L263" i="11"/>
  <c r="M263" i="11" s="1"/>
  <c r="L259" i="11"/>
  <c r="M259" i="11" s="1"/>
  <c r="I259" i="11"/>
  <c r="D214" i="11"/>
  <c r="D216" i="11" s="1"/>
  <c r="L213" i="11"/>
  <c r="M213" i="11" s="1"/>
  <c r="I213" i="11"/>
  <c r="L174" i="11"/>
  <c r="M174" i="11" s="1"/>
  <c r="I174" i="11"/>
  <c r="D239" i="11"/>
  <c r="L238" i="11"/>
  <c r="M238" i="11" s="1"/>
  <c r="I238" i="11"/>
  <c r="L234" i="11"/>
  <c r="M234" i="11" s="1"/>
  <c r="I234" i="11"/>
  <c r="L195" i="11"/>
  <c r="M195" i="11" s="1"/>
  <c r="I195" i="11"/>
  <c r="I119" i="11"/>
  <c r="M138" i="11"/>
  <c r="L128" i="11"/>
  <c r="M128" i="11" s="1"/>
  <c r="N128" i="11" s="1"/>
  <c r="L140" i="11"/>
  <c r="M140" i="11" s="1"/>
  <c r="N140" i="11" s="1"/>
  <c r="D273" i="11"/>
  <c r="D275" i="11" s="1"/>
  <c r="D163" i="11"/>
  <c r="D164" i="11" s="1"/>
  <c r="I178" i="11"/>
  <c r="L193" i="11"/>
  <c r="M193" i="11" s="1"/>
  <c r="N193" i="11" s="1"/>
  <c r="L228" i="11"/>
  <c r="M228" i="11" s="1"/>
  <c r="I258" i="11"/>
  <c r="L277" i="11"/>
  <c r="M277" i="11" s="1"/>
  <c r="I295" i="11"/>
  <c r="N295" i="11" s="1"/>
  <c r="I308" i="11"/>
  <c r="N308" i="11" s="1"/>
  <c r="L324" i="11"/>
  <c r="M324" i="11" s="1"/>
  <c r="N324" i="11" s="1"/>
  <c r="L333" i="11"/>
  <c r="M333" i="11" s="1"/>
  <c r="N333" i="11" s="1"/>
  <c r="L352" i="11"/>
  <c r="M352" i="11" s="1"/>
  <c r="N352" i="11" s="1"/>
  <c r="L363" i="11"/>
  <c r="M363" i="11" s="1"/>
  <c r="N363" i="11" s="1"/>
  <c r="I374" i="11"/>
  <c r="L404" i="11"/>
  <c r="M404" i="11" s="1"/>
  <c r="N404" i="11" s="1"/>
  <c r="I419" i="11"/>
  <c r="I429" i="11"/>
  <c r="I435" i="11"/>
  <c r="L471" i="11"/>
  <c r="M471" i="11" s="1"/>
  <c r="N471" i="11" s="1"/>
  <c r="M475" i="11"/>
  <c r="N475" i="11" s="1"/>
  <c r="I479" i="11"/>
  <c r="L483" i="11"/>
  <c r="M483" i="11" s="1"/>
  <c r="N483" i="11" s="1"/>
  <c r="L489" i="11"/>
  <c r="M489" i="11" s="1"/>
  <c r="N489" i="11" s="1"/>
  <c r="I495" i="11"/>
  <c r="L499" i="11"/>
  <c r="M499" i="11" s="1"/>
  <c r="N499" i="11" s="1"/>
  <c r="L526" i="11"/>
  <c r="M526" i="11" s="1"/>
  <c r="N526" i="11" s="1"/>
  <c r="M538" i="11"/>
  <c r="I542" i="11"/>
  <c r="L547" i="11"/>
  <c r="M547" i="11" s="1"/>
  <c r="N547" i="11" s="1"/>
  <c r="I555" i="11"/>
  <c r="N415" i="11"/>
  <c r="I334" i="11"/>
  <c r="L341" i="11"/>
  <c r="M341" i="11" s="1"/>
  <c r="N341" i="11" s="1"/>
  <c r="I345" i="11"/>
  <c r="L392" i="11"/>
  <c r="M392" i="11" s="1"/>
  <c r="N392" i="11" s="1"/>
  <c r="I407" i="11"/>
  <c r="M419" i="11"/>
  <c r="M435" i="11"/>
  <c r="M137" i="11"/>
  <c r="M136" i="11"/>
  <c r="I173" i="11"/>
  <c r="L178" i="11"/>
  <c r="M178" i="11" s="1"/>
  <c r="I194" i="11"/>
  <c r="I208" i="11"/>
  <c r="I299" i="11"/>
  <c r="I303" i="11"/>
  <c r="N303" i="11" s="1"/>
  <c r="I327" i="11"/>
  <c r="N327" i="11" s="1"/>
  <c r="I338" i="11"/>
  <c r="N338" i="11" s="1"/>
  <c r="I342" i="11"/>
  <c r="L379" i="11"/>
  <c r="M379" i="11" s="1"/>
  <c r="N379" i="11" s="1"/>
  <c r="M407" i="11"/>
  <c r="I411" i="11"/>
  <c r="N411" i="11" s="1"/>
  <c r="I451" i="11"/>
  <c r="N451" i="11" s="1"/>
  <c r="I472" i="11"/>
  <c r="N472" i="11" s="1"/>
  <c r="I476" i="11"/>
  <c r="I490" i="11"/>
  <c r="M529" i="11"/>
  <c r="I533" i="11"/>
  <c r="I539" i="11"/>
  <c r="N539" i="11" s="1"/>
  <c r="I548" i="11"/>
  <c r="N548" i="11" s="1"/>
  <c r="L106" i="11"/>
  <c r="M106" i="11" s="1"/>
  <c r="N106" i="11" s="1"/>
  <c r="M113" i="11"/>
  <c r="D244" i="11"/>
  <c r="D245" i="11" s="1"/>
  <c r="I162" i="11"/>
  <c r="I183" i="11"/>
  <c r="I243" i="11"/>
  <c r="L282" i="11"/>
  <c r="M282" i="11" s="1"/>
  <c r="I292" i="11"/>
  <c r="M299" i="11"/>
  <c r="I311" i="11"/>
  <c r="N311" i="11" s="1"/>
  <c r="I331" i="11"/>
  <c r="L362" i="11"/>
  <c r="M362" i="11" s="1"/>
  <c r="N362" i="11" s="1"/>
  <c r="I399" i="11"/>
  <c r="N399" i="11" s="1"/>
  <c r="I432" i="11"/>
  <c r="N432" i="11" s="1"/>
  <c r="I436" i="11"/>
  <c r="N436" i="11" s="1"/>
  <c r="I455" i="11"/>
  <c r="N455" i="11" s="1"/>
  <c r="I469" i="11"/>
  <c r="I496" i="11"/>
  <c r="I524" i="11"/>
  <c r="I564" i="11"/>
  <c r="N428" i="11"/>
  <c r="I135" i="11"/>
  <c r="I218" i="11"/>
  <c r="M243" i="11"/>
  <c r="I269" i="11"/>
  <c r="I296" i="11"/>
  <c r="N296" i="11" s="1"/>
  <c r="I335" i="11"/>
  <c r="N335" i="11" s="1"/>
  <c r="I346" i="11"/>
  <c r="I356" i="11"/>
  <c r="I361" i="11"/>
  <c r="L372" i="11"/>
  <c r="M372" i="11" s="1"/>
  <c r="N372" i="11" s="1"/>
  <c r="I408" i="11"/>
  <c r="N408" i="11" s="1"/>
  <c r="I570" i="11"/>
  <c r="I147" i="11"/>
  <c r="L183" i="11"/>
  <c r="M183" i="11" s="1"/>
  <c r="I339" i="11"/>
  <c r="I473" i="11"/>
  <c r="I536" i="11"/>
  <c r="L147" i="11"/>
  <c r="M147" i="11" s="1"/>
  <c r="I209" i="11"/>
  <c r="L218" i="11"/>
  <c r="M218" i="11" s="1"/>
  <c r="I293" i="11"/>
  <c r="I304" i="11"/>
  <c r="N304" i="11" s="1"/>
  <c r="I332" i="11"/>
  <c r="I343" i="11"/>
  <c r="I433" i="11"/>
  <c r="I456" i="11"/>
  <c r="N456" i="11" s="1"/>
  <c r="M536" i="11"/>
  <c r="I540" i="11"/>
  <c r="N287" i="11"/>
  <c r="M433" i="11"/>
  <c r="I488" i="11"/>
  <c r="L571" i="11"/>
  <c r="M571" i="11" s="1"/>
  <c r="N571" i="11" s="1"/>
  <c r="I167" i="11"/>
  <c r="M248" i="11"/>
  <c r="I260" i="11"/>
  <c r="N260" i="11" s="1"/>
  <c r="I272" i="11"/>
  <c r="N272" i="11" s="1"/>
  <c r="M293" i="11"/>
  <c r="I297" i="11"/>
  <c r="N297" i="11" s="1"/>
  <c r="I152" i="11"/>
  <c r="I198" i="11"/>
  <c r="I235" i="11"/>
  <c r="I290" i="11"/>
  <c r="I301" i="11"/>
  <c r="I329" i="11"/>
  <c r="N329" i="11" s="1"/>
  <c r="I340" i="11"/>
  <c r="N340" i="11" s="1"/>
  <c r="L364" i="11"/>
  <c r="M364" i="11" s="1"/>
  <c r="N364" i="11" s="1"/>
  <c r="L371" i="11"/>
  <c r="M371" i="11" s="1"/>
  <c r="N371" i="11" s="1"/>
  <c r="I383" i="11"/>
  <c r="I395" i="11"/>
  <c r="I453" i="11"/>
  <c r="N453" i="11" s="1"/>
  <c r="I474" i="11"/>
  <c r="N474" i="11" s="1"/>
  <c r="I494" i="11"/>
  <c r="N494" i="11" s="1"/>
  <c r="I522" i="11"/>
  <c r="I537" i="11"/>
  <c r="I552" i="11"/>
  <c r="M141" i="11"/>
  <c r="L167" i="11"/>
  <c r="M167" i="11" s="1"/>
  <c r="N223" i="11"/>
  <c r="M320" i="11"/>
  <c r="M119" i="11"/>
  <c r="I139" i="11"/>
  <c r="N139" i="11" s="1"/>
  <c r="M103" i="11"/>
  <c r="I130" i="11"/>
  <c r="N130" i="11" s="1"/>
  <c r="L198" i="11"/>
  <c r="M198" i="11" s="1"/>
  <c r="I228" i="11"/>
  <c r="I277" i="11"/>
  <c r="M570" i="11"/>
  <c r="D240" i="11"/>
  <c r="D242" i="11"/>
  <c r="D170" i="11"/>
  <c r="D200" i="11"/>
  <c r="D201" i="11"/>
  <c r="D202" i="11"/>
  <c r="D221" i="11"/>
  <c r="D222" i="11"/>
  <c r="D220" i="11"/>
  <c r="D190" i="11"/>
  <c r="D191" i="11"/>
  <c r="D192" i="11"/>
  <c r="D225" i="11"/>
  <c r="D226" i="11"/>
  <c r="D227" i="11"/>
  <c r="D185" i="11"/>
  <c r="D186" i="11"/>
  <c r="D187" i="11"/>
  <c r="D180" i="11"/>
  <c r="D181" i="11"/>
  <c r="D182" i="11"/>
  <c r="D279" i="11"/>
  <c r="D280" i="11"/>
  <c r="D281" i="11"/>
  <c r="D232" i="11"/>
  <c r="D230" i="11"/>
  <c r="D231" i="11"/>
  <c r="D205" i="11"/>
  <c r="D206" i="11"/>
  <c r="D207" i="11"/>
  <c r="D169" i="11"/>
  <c r="D241" i="11"/>
  <c r="D252" i="11"/>
  <c r="D286" i="11"/>
  <c r="D151" i="11"/>
  <c r="D285" i="11"/>
  <c r="D150" i="11"/>
  <c r="D161" i="11"/>
  <c r="D160" i="11"/>
  <c r="I137" i="11"/>
  <c r="L115" i="11"/>
  <c r="M115" i="11" s="1"/>
  <c r="N115" i="11" s="1"/>
  <c r="I127" i="11"/>
  <c r="N127" i="11" s="1"/>
  <c r="I141" i="11"/>
  <c r="L132" i="11"/>
  <c r="M132" i="11" s="1"/>
  <c r="N132" i="11" s="1"/>
  <c r="L129" i="11"/>
  <c r="M129" i="11" s="1"/>
  <c r="N129" i="11" s="1"/>
  <c r="L126" i="11"/>
  <c r="M126" i="11" s="1"/>
  <c r="N126" i="11" s="1"/>
  <c r="I138" i="11"/>
  <c r="I114" i="11"/>
  <c r="N131" i="11"/>
  <c r="I105" i="11"/>
  <c r="I117" i="11"/>
  <c r="I125" i="11"/>
  <c r="I136" i="11"/>
  <c r="L104" i="11"/>
  <c r="M104" i="11" s="1"/>
  <c r="N104" i="11" s="1"/>
  <c r="I116" i="11"/>
  <c r="N116" i="11" s="1"/>
  <c r="L118" i="11"/>
  <c r="M118" i="11" s="1"/>
  <c r="N118" i="11" s="1"/>
  <c r="L112" i="11"/>
  <c r="M112" i="11" s="1"/>
  <c r="N112" i="11" s="1"/>
  <c r="M105" i="11"/>
  <c r="I103" i="11"/>
  <c r="L120" i="11"/>
  <c r="M120" i="11" s="1"/>
  <c r="N120" i="11" s="1"/>
  <c r="N292" i="11" l="1"/>
  <c r="N208" i="11"/>
  <c r="N301" i="11"/>
  <c r="N383" i="11"/>
  <c r="N540" i="11"/>
  <c r="N450" i="11"/>
  <c r="N473" i="11"/>
  <c r="N459" i="11"/>
  <c r="N409" i="11"/>
  <c r="N345" i="11"/>
  <c r="N302" i="11"/>
  <c r="N152" i="11"/>
  <c r="N331" i="11"/>
  <c r="N460" i="11"/>
  <c r="N248" i="11"/>
  <c r="N113" i="11"/>
  <c r="N233" i="11"/>
  <c r="N396" i="11"/>
  <c r="N172" i="11"/>
  <c r="N565" i="11"/>
  <c r="D265" i="11"/>
  <c r="N429" i="11"/>
  <c r="O53" i="11"/>
  <c r="E8" i="13" s="1"/>
  <c r="O16" i="11"/>
  <c r="E7" i="13" s="1"/>
  <c r="N476" i="11"/>
  <c r="N488" i="11"/>
  <c r="N361" i="11"/>
  <c r="O358" i="11" s="1"/>
  <c r="E13" i="13" s="1"/>
  <c r="N210" i="11"/>
  <c r="N438" i="11"/>
  <c r="N235" i="11"/>
  <c r="N342" i="11"/>
  <c r="N312" i="11"/>
  <c r="N330" i="11"/>
  <c r="N318" i="11"/>
  <c r="N314" i="11"/>
  <c r="N323" i="11"/>
  <c r="N188" i="11"/>
  <c r="N552" i="11"/>
  <c r="N479" i="11"/>
  <c r="D255" i="11"/>
  <c r="N356" i="11"/>
  <c r="N544" i="11"/>
  <c r="N542" i="11"/>
  <c r="D256" i="11"/>
  <c r="N395" i="11"/>
  <c r="N293" i="11"/>
  <c r="D274" i="11"/>
  <c r="D251" i="11"/>
  <c r="N570" i="11"/>
  <c r="O567" i="11" s="1"/>
  <c r="E19" i="13" s="1"/>
  <c r="N564" i="11"/>
  <c r="N555" i="11"/>
  <c r="N506" i="11"/>
  <c r="N125" i="11"/>
  <c r="N529" i="11"/>
  <c r="N157" i="11"/>
  <c r="N374" i="11"/>
  <c r="O366" i="11" s="1"/>
  <c r="E14" i="13" s="1"/>
  <c r="N414" i="11"/>
  <c r="D217" i="11"/>
  <c r="N319" i="11"/>
  <c r="N114" i="11"/>
  <c r="N194" i="11"/>
  <c r="N495" i="11"/>
  <c r="N105" i="11"/>
  <c r="N203" i="11"/>
  <c r="N322" i="11"/>
  <c r="N484" i="11"/>
  <c r="N291" i="11"/>
  <c r="N522" i="11"/>
  <c r="N209" i="11"/>
  <c r="N173" i="11"/>
  <c r="N478" i="11"/>
  <c r="D215" i="11"/>
  <c r="N332" i="11"/>
  <c r="N315" i="11"/>
  <c r="N533" i="11"/>
  <c r="N263" i="11"/>
  <c r="N532" i="11"/>
  <c r="N454" i="11"/>
  <c r="N434" i="11"/>
  <c r="N403" i="11"/>
  <c r="N490" i="11"/>
  <c r="D155" i="11"/>
  <c r="N316" i="11"/>
  <c r="N336" i="11"/>
  <c r="N290" i="11"/>
  <c r="N343" i="11"/>
  <c r="N465" i="11"/>
  <c r="D156" i="11"/>
  <c r="N525" i="11"/>
  <c r="D267" i="11"/>
  <c r="N135" i="11"/>
  <c r="N422" i="11"/>
  <c r="N466" i="11"/>
  <c r="N234" i="11"/>
  <c r="N538" i="11"/>
  <c r="N346" i="11"/>
  <c r="N469" i="11"/>
  <c r="N447" i="11"/>
  <c r="N524" i="11"/>
  <c r="N355" i="11"/>
  <c r="D165" i="11"/>
  <c r="N496" i="11"/>
  <c r="N282" i="11"/>
  <c r="N258" i="11"/>
  <c r="N117" i="11"/>
  <c r="N339" i="11"/>
  <c r="N137" i="11"/>
  <c r="N141" i="11"/>
  <c r="N198" i="11"/>
  <c r="N269" i="11"/>
  <c r="N162" i="11"/>
  <c r="N313" i="11"/>
  <c r="D246" i="11"/>
  <c r="D276" i="11"/>
  <c r="N537" i="11"/>
  <c r="D247" i="11"/>
  <c r="N334" i="11"/>
  <c r="N435" i="11"/>
  <c r="N419" i="11"/>
  <c r="O376" i="11"/>
  <c r="E15" i="13" s="1"/>
  <c r="N259" i="11"/>
  <c r="N238" i="11"/>
  <c r="N218" i="11"/>
  <c r="N183" i="11"/>
  <c r="N174" i="11"/>
  <c r="N167" i="11"/>
  <c r="N147" i="11"/>
  <c r="N119" i="11"/>
  <c r="N103" i="11"/>
  <c r="O70" i="11" s="1"/>
  <c r="N536" i="11"/>
  <c r="N243" i="11"/>
  <c r="N136" i="11"/>
  <c r="N320" i="11"/>
  <c r="N277" i="11"/>
  <c r="D166" i="11"/>
  <c r="N407" i="11"/>
  <c r="N178" i="11"/>
  <c r="N228" i="11"/>
  <c r="N138" i="11"/>
  <c r="N433" i="11"/>
  <c r="N195" i="11"/>
  <c r="N299" i="11"/>
  <c r="N213" i="11"/>
  <c r="O108" i="11" l="1"/>
  <c r="E10" i="13" s="1"/>
  <c r="O442" i="11"/>
  <c r="E17" i="13" s="1"/>
  <c r="O503" i="11"/>
  <c r="E18" i="13" s="1"/>
  <c r="O122" i="11"/>
  <c r="E11" i="13" s="1"/>
  <c r="O386" i="11"/>
  <c r="E16" i="13" s="1"/>
  <c r="O143" i="11"/>
  <c r="E12" i="13" s="1"/>
  <c r="E9" i="13"/>
  <c r="A15" i="11"/>
  <c r="A6" i="11"/>
  <c r="F14" i="11"/>
  <c r="F13" i="11"/>
  <c r="F12" i="11"/>
  <c r="F11" i="11"/>
  <c r="F10" i="11"/>
  <c r="F9" i="11"/>
  <c r="F8" i="11"/>
  <c r="F7" i="11"/>
  <c r="N13" i="11" l="1"/>
  <c r="A7" i="11"/>
  <c r="A8" i="11" s="1"/>
  <c r="N12" i="11"/>
  <c r="N7" i="11"/>
  <c r="N9" i="11"/>
  <c r="N11" i="11"/>
  <c r="N14" i="11"/>
  <c r="N8" i="11"/>
  <c r="N10" i="11"/>
  <c r="O5" i="11" l="1"/>
  <c r="E6" i="13" s="1"/>
  <c r="E20" i="13" s="1"/>
  <c r="A9" i="11"/>
  <c r="A10" i="11" l="1"/>
  <c r="A11" i="11" l="1"/>
  <c r="A12" i="11" l="1"/>
  <c r="L574" i="11"/>
  <c r="A13" i="11" l="1"/>
  <c r="O575" i="11"/>
  <c r="A14" i="11" l="1"/>
  <c r="E21" i="13"/>
  <c r="E22" i="13"/>
  <c r="A19" i="11" l="1"/>
  <c r="E23" i="13"/>
  <c r="A20" i="11" l="1"/>
  <c r="A21" i="11" s="1"/>
  <c r="A22" i="11" s="1"/>
  <c r="A23" i="11" s="1"/>
  <c r="A24" i="11" s="1"/>
  <c r="A28" i="11" s="1"/>
  <c r="A29" i="11" s="1"/>
  <c r="A32" i="11" s="1"/>
  <c r="A33" i="11" s="1"/>
  <c r="A34" i="11" s="1"/>
  <c r="A35" i="11" s="1"/>
  <c r="A38" i="11" s="1"/>
  <c r="A39" i="11" s="1"/>
  <c r="A40" i="11" s="1"/>
  <c r="A43" i="11" s="1"/>
  <c r="A44" i="11" s="1"/>
  <c r="A45" i="11" s="1"/>
  <c r="A48" i="11" s="1"/>
  <c r="O576" i="11"/>
  <c r="O577" i="11"/>
  <c r="A51" i="11" l="1"/>
  <c r="A56" i="11" s="1"/>
  <c r="A57" i="11" s="1"/>
  <c r="A58" i="11" s="1"/>
  <c r="A59" i="11" s="1"/>
  <c r="A60" i="11" s="1"/>
  <c r="A61" i="11" s="1"/>
  <c r="A62" i="11" s="1"/>
  <c r="A63" i="11" s="1"/>
  <c r="A64" i="11" s="1"/>
  <c r="A65" i="11" s="1"/>
  <c r="A66" i="11" s="1"/>
  <c r="A67" i="11" s="1"/>
  <c r="A68" i="11" s="1"/>
  <c r="A73" i="11" s="1"/>
  <c r="A74" i="11" s="1"/>
  <c r="A75" i="11" s="1"/>
  <c r="A76" i="11" s="1"/>
  <c r="A77" i="11" s="1"/>
  <c r="A78" i="11" s="1"/>
  <c r="A81" i="11" s="1"/>
  <c r="A82" i="11" s="1"/>
  <c r="A83" i="11" s="1"/>
  <c r="A84" i="11" s="1"/>
  <c r="A85" i="11" s="1"/>
  <c r="A86" i="11" s="1"/>
  <c r="A89" i="11" s="1"/>
  <c r="A90" i="11" s="1"/>
  <c r="A93" i="11" s="1"/>
  <c r="A94" i="11" s="1"/>
  <c r="A95" i="11" s="1"/>
  <c r="A98" i="11" s="1"/>
  <c r="A99" i="11" s="1"/>
  <c r="A100" i="11" s="1"/>
  <c r="A103" i="11" s="1"/>
  <c r="O578" i="11"/>
  <c r="A104" i="11" l="1"/>
  <c r="A105" i="11" s="1"/>
  <c r="A106" i="11" s="1"/>
  <c r="A111" i="11" s="1"/>
  <c r="A112" i="11" s="1"/>
  <c r="A113" i="11" s="1"/>
  <c r="A114" i="11" s="1"/>
  <c r="A115" i="11" s="1"/>
  <c r="A116" i="11" s="1"/>
  <c r="A117" i="11" s="1"/>
  <c r="A118" i="11" s="1"/>
  <c r="A119" i="11" s="1"/>
  <c r="A120" i="11" s="1"/>
  <c r="A125" i="11" s="1"/>
  <c r="A126" i="11" s="1"/>
  <c r="A127" i="11" s="1"/>
  <c r="A128" i="11" s="1"/>
  <c r="A129" i="11" s="1"/>
  <c r="A130" i="11" s="1"/>
  <c r="A131" i="11" s="1"/>
  <c r="A132" i="11" s="1"/>
  <c r="A135" i="11" s="1"/>
  <c r="A136" i="11" s="1"/>
  <c r="A137" i="11" s="1"/>
  <c r="A138" i="11" s="1"/>
  <c r="A139" i="11" s="1"/>
  <c r="A140" i="11" s="1"/>
  <c r="A141" i="11" s="1"/>
  <c r="A147" i="11" s="1"/>
  <c r="A152" i="11" s="1"/>
  <c r="A157" i="11" s="1"/>
  <c r="A162" i="11" s="1"/>
  <c r="A167" i="11" s="1"/>
  <c r="A172" i="11" s="1"/>
  <c r="A173" i="11" s="1"/>
  <c r="A174" i="11" s="1"/>
  <c r="A175" i="11" s="1"/>
  <c r="A178" i="11" s="1"/>
  <c r="A183" i="11" s="1"/>
  <c r="A188" i="11" s="1"/>
  <c r="A193" i="11" s="1"/>
  <c r="A194" i="11" s="1"/>
  <c r="A195" i="11" s="1"/>
  <c r="A198" i="11" s="1"/>
  <c r="A203" i="11" s="1"/>
  <c r="A208" i="11" s="1"/>
  <c r="A209" i="11" s="1"/>
  <c r="A210" i="11" s="1"/>
  <c r="A213" i="11" s="1"/>
  <c r="A218" i="11" s="1"/>
  <c r="A223" i="11" s="1"/>
  <c r="A228" i="11" s="1"/>
  <c r="A233" i="11" s="1"/>
  <c r="A234" i="11" s="1"/>
  <c r="A235" i="11" s="1"/>
  <c r="A238" i="11" s="1"/>
  <c r="A243" i="11" s="1"/>
  <c r="A248" i="11" s="1"/>
  <c r="A253" i="11" s="1"/>
  <c r="A258" i="11" s="1"/>
  <c r="A259" i="11" s="1"/>
  <c r="A260" i="11" s="1"/>
  <c r="A263" i="11" s="1"/>
  <c r="A268" i="11" s="1"/>
  <c r="A269" i="11" s="1"/>
  <c r="A272" i="11" s="1"/>
  <c r="A277" i="11" s="1"/>
  <c r="A282" i="11" s="1"/>
  <c r="A287" i="11" s="1"/>
  <c r="A290" i="11" s="1"/>
  <c r="A291" i="11" s="1"/>
  <c r="A292" i="11" s="1"/>
  <c r="A293" i="11" s="1"/>
  <c r="A294" i="11" s="1"/>
  <c r="A295" i="11" s="1"/>
  <c r="A296" i="11" s="1"/>
  <c r="A297" i="11" s="1"/>
  <c r="A298" i="11" s="1"/>
  <c r="A299" i="11" s="1"/>
  <c r="A300" i="11" s="1"/>
  <c r="A301" i="11" s="1"/>
  <c r="A302" i="11" s="1"/>
  <c r="A303" i="11" s="1"/>
  <c r="A304" i="11" s="1"/>
  <c r="A305" i="11" s="1"/>
  <c r="A308" i="11" s="1"/>
  <c r="A311" i="11" s="1"/>
  <c r="A312" i="11" s="1"/>
  <c r="A313" i="11" s="1"/>
  <c r="A314" i="11" s="1"/>
  <c r="A315" i="11" s="1"/>
  <c r="A316" i="11" s="1"/>
  <c r="A317" i="11" s="1"/>
  <c r="A318" i="11" s="1"/>
  <c r="A319" i="11" s="1"/>
  <c r="A320" i="11" s="1"/>
  <c r="A321" i="11" s="1"/>
  <c r="A322" i="11" s="1"/>
  <c r="A323" i="11" s="1"/>
  <c r="A324" i="11" s="1"/>
  <c r="A327" i="11" s="1"/>
  <c r="A328" i="11" s="1"/>
  <c r="A329" i="11" s="1"/>
  <c r="A330" i="11" s="1"/>
  <c r="A331" i="11" s="1"/>
  <c r="A332" i="11" s="1"/>
  <c r="A333" i="11" s="1"/>
  <c r="A334" i="11" s="1"/>
  <c r="A335" i="11" s="1"/>
  <c r="A336" i="11" s="1"/>
  <c r="A337" i="11" s="1"/>
  <c r="A338" i="11" s="1"/>
  <c r="A339" i="11" s="1"/>
  <c r="A340" i="11" s="1"/>
  <c r="A341" i="11" s="1"/>
  <c r="A342" i="11" s="1"/>
  <c r="A343" i="11" s="1"/>
  <c r="A344" i="11" s="1"/>
  <c r="A345" i="11" s="1"/>
  <c r="A346" i="11" s="1"/>
  <c r="A349" i="11" s="1"/>
  <c r="A352" i="11" s="1"/>
  <c r="A355" i="11" s="1"/>
  <c r="A356" i="11" s="1"/>
  <c r="A361" i="11" s="1"/>
  <c r="A362" i="11" s="1"/>
  <c r="A363" i="11" s="1"/>
  <c r="A364" i="11" s="1"/>
  <c r="A369" i="11" s="1"/>
  <c r="A370" i="11" s="1"/>
  <c r="A371" i="11" s="1"/>
  <c r="A372" i="11" s="1"/>
  <c r="A373" i="11" s="1"/>
  <c r="A374" i="11" s="1"/>
  <c r="A379" i="11" s="1"/>
  <c r="A380" i="11" s="1"/>
  <c r="A383" i="11" s="1"/>
  <c r="A390" i="11" s="1"/>
  <c r="A391" i="11" s="1"/>
  <c r="A392" i="11" s="1"/>
  <c r="A395" i="11" s="1"/>
  <c r="A396" i="11" s="1"/>
  <c r="A399" i="11" s="1"/>
  <c r="A403" i="11" s="1"/>
  <c r="A404" i="11" s="1"/>
  <c r="A407" i="11" s="1"/>
  <c r="A408" i="11" s="1"/>
  <c r="A409" i="11" s="1"/>
  <c r="A410" i="11" s="1"/>
  <c r="A411" i="11" s="1"/>
  <c r="A414" i="11" s="1"/>
  <c r="A415" i="11" s="1"/>
  <c r="A419" i="11" s="1"/>
  <c r="A422" i="11" s="1"/>
  <c r="A425" i="11" s="1"/>
  <c r="A428" i="11" s="1"/>
  <c r="A429" i="11" s="1"/>
  <c r="A432" i="11" s="1"/>
  <c r="A433" i="11" s="1"/>
  <c r="A434" i="11" s="1"/>
  <c r="A435" i="11" s="1"/>
  <c r="A436" i="11" s="1"/>
  <c r="A437" i="11" s="1"/>
  <c r="A438" i="11" s="1"/>
  <c r="A447" i="11" s="1"/>
  <c r="A450" i="11" s="1"/>
  <c r="A451" i="11" s="1"/>
  <c r="A452" i="11" s="1"/>
  <c r="A453" i="11" s="1"/>
  <c r="A454" i="11" s="1"/>
  <c r="A455" i="11" s="1"/>
  <c r="A456" i="11" s="1"/>
  <c r="A459" i="11" s="1"/>
  <c r="A460" i="11" s="1"/>
  <c r="A461" i="11" s="1"/>
  <c r="A465" i="11" s="1"/>
  <c r="A466" i="11" s="1"/>
  <c r="A469" i="11" s="1"/>
  <c r="A470" i="11" s="1"/>
  <c r="A471" i="11" s="1"/>
  <c r="A472" i="11" s="1"/>
  <c r="A473" i="11" s="1"/>
  <c r="A474" i="11" s="1"/>
  <c r="A475" i="11" s="1"/>
  <c r="A476" i="11" s="1"/>
  <c r="A477" i="11" s="1"/>
  <c r="A478" i="11" s="1"/>
  <c r="A479" i="11" s="1"/>
  <c r="A482" i="11" s="1"/>
  <c r="A483" i="11" s="1"/>
  <c r="A484" i="11" s="1"/>
  <c r="A487" i="11" s="1"/>
  <c r="A488" i="11" s="1"/>
  <c r="A489" i="11" s="1"/>
  <c r="A490" i="11" s="1"/>
  <c r="A491" i="11" s="1"/>
  <c r="A494" i="11" s="1"/>
  <c r="A495" i="11" s="1"/>
  <c r="A496" i="11" s="1"/>
  <c r="A499" i="11" s="1"/>
  <c r="A506" i="11" s="1"/>
  <c r="A507" i="11" s="1"/>
  <c r="A508" i="11" s="1"/>
  <c r="A509" i="11" s="1"/>
  <c r="A510" i="11" s="1"/>
  <c r="A511" i="11" s="1"/>
  <c r="A512" i="11" s="1"/>
  <c r="A513" i="11" s="1"/>
  <c r="A514" i="11" s="1"/>
  <c r="A515" i="11" s="1"/>
  <c r="A516" i="11" s="1"/>
  <c r="A517" i="11" s="1"/>
  <c r="A518" i="11" s="1"/>
  <c r="A519" i="11" s="1"/>
  <c r="A522" i="11" s="1"/>
  <c r="A523" i="11" s="1"/>
  <c r="A524" i="11" s="1"/>
  <c r="A525" i="11" s="1"/>
  <c r="A526" i="11" s="1"/>
  <c r="A529" i="11" s="1"/>
  <c r="A530" i="11" s="1"/>
  <c r="A531" i="11" s="1"/>
  <c r="A532" i="11" s="1"/>
  <c r="A533" i="11" s="1"/>
  <c r="A536" i="11" s="1"/>
  <c r="A537" i="11" s="1"/>
  <c r="A538" i="11" s="1"/>
  <c r="A539" i="11" s="1"/>
  <c r="A540" i="11" s="1"/>
  <c r="A541" i="11" s="1"/>
  <c r="A542" i="11" s="1"/>
  <c r="A543" i="11" s="1"/>
  <c r="A544" i="11" s="1"/>
  <c r="A547" i="11" s="1"/>
  <c r="A548" i="11" s="1"/>
  <c r="A549" i="11" s="1"/>
  <c r="A552" i="11" s="1"/>
  <c r="A555" i="11" s="1"/>
  <c r="A556" i="11" s="1"/>
  <c r="A557" i="11" s="1"/>
  <c r="A558" i="11" s="1"/>
  <c r="A559" i="11" s="1"/>
  <c r="A560" i="11" s="1"/>
  <c r="A561" i="11" s="1"/>
  <c r="A564" i="11" s="1"/>
  <c r="A565" i="11" s="1"/>
  <c r="A570" i="11" s="1"/>
  <c r="A571" i="11" s="1"/>
  <c r="O2" i="11"/>
  <c r="A573" i="11"/>
</calcChain>
</file>

<file path=xl/sharedStrings.xml><?xml version="1.0" encoding="utf-8"?>
<sst xmlns="http://schemas.openxmlformats.org/spreadsheetml/2006/main" count="868" uniqueCount="411">
  <si>
    <t>Summary</t>
  </si>
  <si>
    <t>Amount</t>
  </si>
  <si>
    <t>TOTAL ITEM COST</t>
  </si>
  <si>
    <t>EA</t>
  </si>
  <si>
    <t>LF</t>
  </si>
  <si>
    <t>SF</t>
  </si>
  <si>
    <t>Date:</t>
  </si>
  <si>
    <t>Project:</t>
  </si>
  <si>
    <t>Project Location:</t>
  </si>
  <si>
    <t>UOM</t>
  </si>
  <si>
    <t>Total Labor Cost</t>
  </si>
  <si>
    <t>Unit Material Cost</t>
  </si>
  <si>
    <t>Total Material Cost</t>
  </si>
  <si>
    <t>TOTAL TRADE COST</t>
  </si>
  <si>
    <t>Description</t>
  </si>
  <si>
    <t>Quantity</t>
  </si>
  <si>
    <t>Wastage</t>
  </si>
  <si>
    <t>Qty. With Wastage</t>
  </si>
  <si>
    <t>Unit Labor Hrs.</t>
  </si>
  <si>
    <t>Cost/Hr</t>
  </si>
  <si>
    <t>Manhours</t>
  </si>
  <si>
    <t>Labor/Hour</t>
  </si>
  <si>
    <t>Sr#</t>
  </si>
  <si>
    <t>DIV.06 WOOD, PLASTICS &amp; COMPOSITES</t>
  </si>
  <si>
    <t>DIV.08 OPENINGS</t>
  </si>
  <si>
    <t>DIV.09 FINISHES</t>
  </si>
  <si>
    <t>DIV.10 SPECIALTIES</t>
  </si>
  <si>
    <t>DIV.11 EQUIPMENT</t>
  </si>
  <si>
    <t>DIV.22 PLUMBING</t>
  </si>
  <si>
    <t>PLUMBING FIXTURES</t>
  </si>
  <si>
    <t>Total Labor Hrs.</t>
  </si>
  <si>
    <t>DIV.23 MECHANICAL &amp; HVAC</t>
  </si>
  <si>
    <t>Duplex Receptacle</t>
  </si>
  <si>
    <t>CONDUCTORS</t>
  </si>
  <si>
    <t xml:space="preserve">1/2" Emt Conduit </t>
  </si>
  <si>
    <t>CONDUITS</t>
  </si>
  <si>
    <t xml:space="preserve">Trades Total </t>
  </si>
  <si>
    <t>Material Tax</t>
  </si>
  <si>
    <t>OH&amp;P</t>
  </si>
  <si>
    <t>TOTALS</t>
  </si>
  <si>
    <t>TOTAL COST</t>
  </si>
  <si>
    <t>Drawing Ref.</t>
  </si>
  <si>
    <t>DIV.26 ELECTRICAL</t>
  </si>
  <si>
    <t>2#12, 1#12 Gnd Cu Wire Service For Receptacle</t>
  </si>
  <si>
    <t>DIV.05 METALS</t>
  </si>
  <si>
    <t>DIV.07 THERMAL &amp; MOISTURE PROTECTION</t>
  </si>
  <si>
    <t>ROOFING</t>
  </si>
  <si>
    <t>WINDOWS</t>
  </si>
  <si>
    <t>DOORS AND FRAMES</t>
  </si>
  <si>
    <t>Paint On Door Trims</t>
  </si>
  <si>
    <t>MISCELLANEOUS PAINT</t>
  </si>
  <si>
    <t>Door Trims</t>
  </si>
  <si>
    <t>BASE AND TRIMS</t>
  </si>
  <si>
    <t>FLOORING</t>
  </si>
  <si>
    <t>Tapping</t>
  </si>
  <si>
    <t>Adhesive</t>
  </si>
  <si>
    <t>Screw</t>
  </si>
  <si>
    <t>Number Of Sheets( Assume Size 4' X 8')</t>
  </si>
  <si>
    <t>CEILING</t>
  </si>
  <si>
    <t>Backing/Blocking For Wall Mounted Fixtures</t>
  </si>
  <si>
    <t>DRY WALLS</t>
  </si>
  <si>
    <t>TOILET, BATH AND LAUNDRY ACCESSORIES</t>
  </si>
  <si>
    <t>DIV.12 FURNISHINGS</t>
  </si>
  <si>
    <t>Backsplash</t>
  </si>
  <si>
    <t>#10 X 1 P/H Self-Tap Screw</t>
  </si>
  <si>
    <t>#8 To #10 X 7/8 Plas Anchor (3/16)</t>
  </si>
  <si>
    <t>3/4" 1-H Strap - Emt - Steel</t>
  </si>
  <si>
    <t>3/4" Coupling Ss Stl - Emt</t>
  </si>
  <si>
    <t>3/4" Conn Ss Stl - Emt</t>
  </si>
  <si>
    <t>3/4" Emt Conduit</t>
  </si>
  <si>
    <t>LIGHTING CONTROLS</t>
  </si>
  <si>
    <t>Countertop</t>
  </si>
  <si>
    <t>HVAC DUCTWORK</t>
  </si>
  <si>
    <t>COST SUMMARY</t>
  </si>
  <si>
    <t>PAINTS AND COATINGS</t>
  </si>
  <si>
    <t>FLOOR TRANSITION</t>
  </si>
  <si>
    <t>Acoustical Sealants/Caulking</t>
  </si>
  <si>
    <t>Water Closet With Flush Valve</t>
  </si>
  <si>
    <t>Lavatory With Faucet</t>
  </si>
  <si>
    <t>DEVICES</t>
  </si>
  <si>
    <t>FANS</t>
  </si>
  <si>
    <t>Duplex Receptacle, Ground Fault Circuit Interrupter</t>
  </si>
  <si>
    <t>DESCRIPTION OF WORK</t>
  </si>
  <si>
    <t>TRADE COST</t>
  </si>
  <si>
    <t>Metals</t>
  </si>
  <si>
    <t>Wood, Plastics &amp; Composites</t>
  </si>
  <si>
    <t>Thermal &amp; Moisture Protection</t>
  </si>
  <si>
    <t>Openings</t>
  </si>
  <si>
    <t>Finishes</t>
  </si>
  <si>
    <t>Specialties</t>
  </si>
  <si>
    <t>Equipment</t>
  </si>
  <si>
    <t>Furnishings</t>
  </si>
  <si>
    <t>Plumbing</t>
  </si>
  <si>
    <t>Mechanical &amp; HVAC</t>
  </si>
  <si>
    <t>Electrical</t>
  </si>
  <si>
    <t>SUB-TOTAL</t>
  </si>
  <si>
    <t>Contractor's O&amp;P</t>
  </si>
  <si>
    <t>TOTAL BID</t>
  </si>
  <si>
    <t>DIV.01 GENERAL CONDITIONS</t>
  </si>
  <si>
    <t>LS</t>
  </si>
  <si>
    <t>Submittal Procedures</t>
  </si>
  <si>
    <t>Testing and Inspecting Services</t>
  </si>
  <si>
    <t>Temporary Lighting</t>
  </si>
  <si>
    <t>Temporary Construction</t>
  </si>
  <si>
    <t>Temporary Scaffolding and Platforms</t>
  </si>
  <si>
    <t>Field Engineering</t>
  </si>
  <si>
    <t>Commissioning</t>
  </si>
  <si>
    <t>FINISH CARPENTRY</t>
  </si>
  <si>
    <t>Ice &amp; Water Shield</t>
  </si>
  <si>
    <t>Ridge Vent</t>
  </si>
  <si>
    <t>Ceiling Fan</t>
  </si>
  <si>
    <t>4" Dia Exhaust Air Duct</t>
  </si>
  <si>
    <t>General Documentation &amp; Fee</t>
  </si>
  <si>
    <t>General Conditions</t>
  </si>
  <si>
    <t>Hip Flashing</t>
  </si>
  <si>
    <t>EQUIPMENTS</t>
  </si>
  <si>
    <t>Water Heater</t>
  </si>
  <si>
    <t>SANITARY SEWER</t>
  </si>
  <si>
    <t>PLUMBING JOINTS</t>
  </si>
  <si>
    <t>PLUMBING PIPING</t>
  </si>
  <si>
    <t>HVAC UNITS</t>
  </si>
  <si>
    <t>Smoke Detector</t>
  </si>
  <si>
    <t>20A, 2-Pole Circuit Breaker</t>
  </si>
  <si>
    <t>15A, 1-Pole Circuit Breaker</t>
  </si>
  <si>
    <t>50A, 2-Pole Circuit Breaker</t>
  </si>
  <si>
    <t>40A, 2-Pole Circuit Breaker</t>
  </si>
  <si>
    <t>30A, 2-Pole Circuit Breaker</t>
  </si>
  <si>
    <t>PANELS &amp; CIRCUIT BREAKERS</t>
  </si>
  <si>
    <t>DISCONNECT SWITCHES</t>
  </si>
  <si>
    <t>4-Pole Switch</t>
  </si>
  <si>
    <t>Duplex Receptacle, Ground Fault Circuit Interrupter, Weatherproof</t>
  </si>
  <si>
    <t>DIV.03 CONCRETE</t>
  </si>
  <si>
    <t>CONCRETE FOR WALLS</t>
  </si>
  <si>
    <t>CONCRETE FOR SLAB</t>
  </si>
  <si>
    <t>CY</t>
  </si>
  <si>
    <t>Concrete</t>
  </si>
  <si>
    <t xml:space="preserve">2'-0" Deep Base Cabinetry </t>
  </si>
  <si>
    <t xml:space="preserve">1'-0" Deep Wall Cabinetry </t>
  </si>
  <si>
    <t xml:space="preserve">1'-0" Deep Shelve </t>
  </si>
  <si>
    <t xml:space="preserve">1'-0" Deep Rod And Shelve </t>
  </si>
  <si>
    <t>ROUGH CARPENTRY</t>
  </si>
  <si>
    <t>Sheet-1
Sheet-2
Sheet-3
Sheet-4
Sheet-5
Sheet-6</t>
  </si>
  <si>
    <t>Valley Flashing</t>
  </si>
  <si>
    <t>Ridge Flashing</t>
  </si>
  <si>
    <t>2" X 6" Wood Fascia</t>
  </si>
  <si>
    <t>1" X 2" Wood Trim</t>
  </si>
  <si>
    <t>R-38 Spray Foam Insulation</t>
  </si>
  <si>
    <t>#30 Roofing Felt Paper</t>
  </si>
  <si>
    <t>Concrete Tile Roof, #Esr-1759</t>
  </si>
  <si>
    <t xml:space="preserve">6'-0" X 6'-0" Ls Window </t>
  </si>
  <si>
    <t xml:space="preserve">6'-0" X 5'-0" Ls Window </t>
  </si>
  <si>
    <t xml:space="preserve">5'-0" X 5'-0" Ls Window </t>
  </si>
  <si>
    <t xml:space="preserve">4'-0" X 5'-0" Ls Window </t>
  </si>
  <si>
    <t xml:space="preserve">3'-0" X 5'-0" Sh Window </t>
  </si>
  <si>
    <t xml:space="preserve">3'-0" X 5'-0" Ls Window </t>
  </si>
  <si>
    <t xml:space="preserve">2'-0" X 2'-0" Ls Window </t>
  </si>
  <si>
    <t xml:space="preserve">5'-0" X 8'-0" Sliding Door </t>
  </si>
  <si>
    <t xml:space="preserve">8'-0" X 8'-0" Exterior Door </t>
  </si>
  <si>
    <t xml:space="preserve">3'-6" X 8'-0" Exterior Door </t>
  </si>
  <si>
    <t xml:space="preserve">3'-0" X 8'-0" Interior Door </t>
  </si>
  <si>
    <t xml:space="preserve">3'-0" X 8'-0" Exterior Door </t>
  </si>
  <si>
    <t xml:space="preserve">2'-8" X 8'-0" Interior Door </t>
  </si>
  <si>
    <t xml:space="preserve">2'-6" X 8'-0" Interior Door </t>
  </si>
  <si>
    <t xml:space="preserve">2'-4" X 8'-0" Interior Door </t>
  </si>
  <si>
    <t>Sheet-2
Sheet-3
Sheet-4
Sheet-5
Sheet-8
Sheet-14</t>
  </si>
  <si>
    <t>Paint On Doors</t>
  </si>
  <si>
    <t>Pt, Interior Wall Paint, Manufacturer: Sherwin Williams</t>
  </si>
  <si>
    <t>Wall Tiles @ Washroom</t>
  </si>
  <si>
    <t>TILING</t>
  </si>
  <si>
    <t>Gable End Decorative Truss</t>
  </si>
  <si>
    <t>Decorative Wood Brackets</t>
  </si>
  <si>
    <t>8" X 8" Decorative Wood Columns, 9'-0"</t>
  </si>
  <si>
    <t>8" X 8" Decorative Wood Column, 8'-0"</t>
  </si>
  <si>
    <t>8" Stucco Band On Chimney</t>
  </si>
  <si>
    <t>4" Window Brick Sill</t>
  </si>
  <si>
    <t>2" X 8" Rack Board</t>
  </si>
  <si>
    <t>2" X 6" Fascia</t>
  </si>
  <si>
    <t>16" Decorative Wood Beam</t>
  </si>
  <si>
    <t>1" X 4" Window Trim</t>
  </si>
  <si>
    <t>1" X 4" Window Brick Header</t>
  </si>
  <si>
    <t>1" X 4" Door Trim</t>
  </si>
  <si>
    <t>1" X 4" Corner Trim</t>
  </si>
  <si>
    <t>Window Shutter</t>
  </si>
  <si>
    <t>Hardboard Siding, Icc-Esr-1844</t>
  </si>
  <si>
    <t>Cultured Stone, Icc-Esr-4330</t>
  </si>
  <si>
    <t>Concrete Tile On Gable End, Esr-1759</t>
  </si>
  <si>
    <t xml:space="preserve">Paint On Post </t>
  </si>
  <si>
    <t xml:space="preserve">Paint On Fireplace In Patio </t>
  </si>
  <si>
    <t>EXTERIOR FINISHES</t>
  </si>
  <si>
    <t xml:space="preserve">Study </t>
  </si>
  <si>
    <t xml:space="preserve">Stair </t>
  </si>
  <si>
    <t xml:space="preserve">Pantry </t>
  </si>
  <si>
    <t xml:space="preserve">Laundry </t>
  </si>
  <si>
    <t xml:space="preserve">Kitchen </t>
  </si>
  <si>
    <t xml:space="preserve">Hall </t>
  </si>
  <si>
    <t xml:space="preserve">Foyer </t>
  </si>
  <si>
    <t xml:space="preserve">Family </t>
  </si>
  <si>
    <t xml:space="preserve">Dining </t>
  </si>
  <si>
    <t xml:space="preserve">Closet </t>
  </si>
  <si>
    <t xml:space="preserve">Bedroom </t>
  </si>
  <si>
    <t xml:space="preserve">Bathroom </t>
  </si>
  <si>
    <t xml:space="preserve">Attic Bonus Room </t>
  </si>
  <si>
    <t xml:space="preserve">Transition </t>
  </si>
  <si>
    <t xml:space="preserve">Porch </t>
  </si>
  <si>
    <t xml:space="preserve">Patio </t>
  </si>
  <si>
    <t xml:space="preserve">Garage </t>
  </si>
  <si>
    <t xml:space="preserve">Family Room </t>
  </si>
  <si>
    <t>(1) Layer Of 1/2" (Sr) Moisture Resistant Gypsum Wall Board Ceiling</t>
  </si>
  <si>
    <t>(1) Layer Of 5/8"( 1Hr-Type X ) Gypsum Wall Board Ceiling</t>
  </si>
  <si>
    <t>(1) Layer Of 1/2" (Sr) Gypsum Wall Board Ceiling</t>
  </si>
  <si>
    <t>2x4 Wood Studs @ 16" O.C. W/ 2-Top And 1-Bottom Runner (Wall Lf= 13.04)</t>
  </si>
  <si>
    <t>(1) Layer Of 1/2" Gypsum Wall Board On Both Side</t>
  </si>
  <si>
    <t>WALL TYPE: 4" INTERIOR KNEEWALL</t>
  </si>
  <si>
    <t>2x6 Wood Studs @ 16" O.C. W/ 2-Top And 1-Bottom Runner (Wall Lf=52.59 )</t>
  </si>
  <si>
    <t>5D Cooler Nails @ 7" O.C</t>
  </si>
  <si>
    <t>(1) Layer Of 1/2" Cementitious Backer Board @ Wet Areas Behind Tiles</t>
  </si>
  <si>
    <t>(1) Layer Of 1/2" Moisture Resistant Gypsum Wall Board @ Wet Areas</t>
  </si>
  <si>
    <t>(1) Layer Of 5/8" Type X Gypsum Wall Board On One Side</t>
  </si>
  <si>
    <t>WALL TYPE: 5, 6" INTERIOR PARTITION WALL</t>
  </si>
  <si>
    <t>2x4 Wood Studs @ 16" O.C. W/ 2-Top And 1-Bottom Runner (Wall Lf= 315.55 )</t>
  </si>
  <si>
    <t>WALL TYPE: 5, 4" INTERIOR PARTITION WALL</t>
  </si>
  <si>
    <t>R-19 Batt Insulation</t>
  </si>
  <si>
    <t>2x6 Wood Studs @ 16" O.C. W/ 2-Top And 1-Bottom Runner (Wall Lf= 11.38)</t>
  </si>
  <si>
    <t>(1) Layer Of 1/2" Gypsum Wall Board On One Side</t>
  </si>
  <si>
    <t>(1) Layer Of 3/8" Osb Wall Sheathing On One Side</t>
  </si>
  <si>
    <t>WALL TYPE: 4,6" EXTERIOR PARTITION WALL</t>
  </si>
  <si>
    <t>2x6 Wood Studs @ 16" O.C. W/ 2-Top And 1-Bottom Runner (Wall Lf= 30.3)</t>
  </si>
  <si>
    <t>WALL TYPE: 2,6" EXTERIOR PARTITION WALL</t>
  </si>
  <si>
    <t>2x6 Wood Studs @ 16" O.C. W/ 2-Top And 1-Bottom Runner (Wall Lf= 193.26)</t>
  </si>
  <si>
    <t>WALL TYPE: 1,6" EXTERIOR PARTITION WALL</t>
  </si>
  <si>
    <t xml:space="preserve">Wall Mirror </t>
  </si>
  <si>
    <t xml:space="preserve">Tissue Paper Holder </t>
  </si>
  <si>
    <t xml:space="preserve">Soap Dispenser </t>
  </si>
  <si>
    <t xml:space="preserve">36" Grab Bar </t>
  </si>
  <si>
    <t xml:space="preserve">Refrigerator </t>
  </si>
  <si>
    <t xml:space="preserve">Laundry Washer </t>
  </si>
  <si>
    <t xml:space="preserve">Laundry Dryer </t>
  </si>
  <si>
    <t xml:space="preserve">Kitchen Dryer And Washer </t>
  </si>
  <si>
    <t xml:space="preserve">Gas Range </t>
  </si>
  <si>
    <t xml:space="preserve">Gas Fire Place </t>
  </si>
  <si>
    <t>42" High Hand Rail</t>
  </si>
  <si>
    <t>ACCESSORIES</t>
  </si>
  <si>
    <t>COUNTERTOP BACKSPLASH</t>
  </si>
  <si>
    <t>Block Residence</t>
  </si>
  <si>
    <t>Parcel #: 304-72-045L</t>
  </si>
  <si>
    <t>Wall Mounted Lavatory With Faucet</t>
  </si>
  <si>
    <t>Shower With Head And Drain</t>
  </si>
  <si>
    <t>Master Bath Tub With Head</t>
  </si>
  <si>
    <t>Double Bowl Kitchen Sink With Faucet</t>
  </si>
  <si>
    <t>Bath Tub</t>
  </si>
  <si>
    <t>Temperature &amp; Pressure Relief Valve</t>
  </si>
  <si>
    <t>PLUMBING EQUIPMENTS</t>
  </si>
  <si>
    <t>Gas Shut-Off Valves</t>
  </si>
  <si>
    <t>GAS</t>
  </si>
  <si>
    <t>Sanitary Valves</t>
  </si>
  <si>
    <t>Water Valves</t>
  </si>
  <si>
    <t>DOMESTIC WATER</t>
  </si>
  <si>
    <t>PLUMBING VALVES</t>
  </si>
  <si>
    <t>Tee Joints</t>
  </si>
  <si>
    <t>Elbow Joints</t>
  </si>
  <si>
    <t>Wye Combination 45* Elbow Joints</t>
  </si>
  <si>
    <t>Wye Joints</t>
  </si>
  <si>
    <t>Elbow Joints, 45*</t>
  </si>
  <si>
    <t>Natural Gas Piping</t>
  </si>
  <si>
    <t>Vent Piping</t>
  </si>
  <si>
    <t>Sanitary Waste Piping</t>
  </si>
  <si>
    <t>Hot Water Return Piping</t>
  </si>
  <si>
    <t>Hot Water Piping</t>
  </si>
  <si>
    <t>Cold Water Piping</t>
  </si>
  <si>
    <t>SHEET-8</t>
  </si>
  <si>
    <t xml:space="preserve">Note: All plumbing pipings and rough-ins and values are added per standard assumptions as allowances. </t>
  </si>
  <si>
    <t>Thermostat</t>
  </si>
  <si>
    <t>8" Dia Volume Damper</t>
  </si>
  <si>
    <t>6" Dia Volume Damper</t>
  </si>
  <si>
    <t>4" Dia Volume Damper</t>
  </si>
  <si>
    <t>DAMPERS</t>
  </si>
  <si>
    <t>6" X 6" Supply Air Ceiling Diffuser</t>
  </si>
  <si>
    <t>12" X 12" Supply Air Ceiling Diffuser</t>
  </si>
  <si>
    <t>10" X 10" Supply Air Ceiling Diffuser</t>
  </si>
  <si>
    <t>5" Dia Ea Wall Cap With Insect Screen</t>
  </si>
  <si>
    <t>4" Dia Ea Wall Cap With Insect Screen</t>
  </si>
  <si>
    <t>GRILLS &amp; DIFFUSERS</t>
  </si>
  <si>
    <t>Tag: Cu, Condensing Unit</t>
  </si>
  <si>
    <t>Tag: Ac, Indoor Unit</t>
  </si>
  <si>
    <t>Bathroom Exhaust Fan</t>
  </si>
  <si>
    <t>12" X 20" To 12" X 16" Reducer</t>
  </si>
  <si>
    <t>12" X 20" Side Transition</t>
  </si>
  <si>
    <t>12" X 20" Elbow</t>
  </si>
  <si>
    <t>12" X 16" To 12" X 14" Reducer</t>
  </si>
  <si>
    <t>12" X 16" Side Transition</t>
  </si>
  <si>
    <t>12" X 14" To 12" X 12" Reducer</t>
  </si>
  <si>
    <t>12" X 14" Elbow</t>
  </si>
  <si>
    <t>8" Dia Side Transition</t>
  </si>
  <si>
    <t>8" Dia Elbow</t>
  </si>
  <si>
    <t>6" Dia Side Transition</t>
  </si>
  <si>
    <t>4" Dia Side Transition</t>
  </si>
  <si>
    <t>DUCTWORK TRANSITIONS</t>
  </si>
  <si>
    <t>5" Dia Kitchen Hood Exhaust Air Duct</t>
  </si>
  <si>
    <t>ROUND</t>
  </si>
  <si>
    <t>EXHAUST AIR DUCTWORK</t>
  </si>
  <si>
    <t>8" Dia Supply Air Duct-Flexible</t>
  </si>
  <si>
    <t>6" Dia Supply Air Duct-Flexible</t>
  </si>
  <si>
    <t>4" Dia Supply Air Duct-Flexible</t>
  </si>
  <si>
    <t>FLEXIBLE</t>
  </si>
  <si>
    <t>12" X 30" Supply Air Duct</t>
  </si>
  <si>
    <t>12" X 20" Supply Air Duct</t>
  </si>
  <si>
    <t>12" X 18" Supply Air Duct</t>
  </si>
  <si>
    <t>12" X 16" Supply Air Duct</t>
  </si>
  <si>
    <t>12" X 14" Supply Air Duct</t>
  </si>
  <si>
    <t>12" X 12" Supply Air Duct</t>
  </si>
  <si>
    <t>12" X 10" Supply Air Duct</t>
  </si>
  <si>
    <t>RECTANGULAR</t>
  </si>
  <si>
    <t>8" Dia Supply Air Duct</t>
  </si>
  <si>
    <t>SUPPLY AIR DUCTWORK</t>
  </si>
  <si>
    <t>Note: All Ductwork, Transitions, Devices &amp; Dampers Are Assumption Based, Not Shown On Plans</t>
  </si>
  <si>
    <t>Ceiling Fan, Weatherproof</t>
  </si>
  <si>
    <t>20A, 1-Pole Circuit Breaker</t>
  </si>
  <si>
    <t>Panel: 200A Service</t>
  </si>
  <si>
    <t>Disconnect Switch, 2P, 20A</t>
  </si>
  <si>
    <t>3-Pole Switch</t>
  </si>
  <si>
    <t>1-Pole Switch</t>
  </si>
  <si>
    <t>Under Cabinet Light</t>
  </si>
  <si>
    <t>Ceiling Fan With Light</t>
  </si>
  <si>
    <t>Standard Light, Wall Mounted, Weatherproof</t>
  </si>
  <si>
    <t>Standard Light, Wall Mounted</t>
  </si>
  <si>
    <t>Standard Light, Ceiling Mounted</t>
  </si>
  <si>
    <t>Ceiling Mounted Recessed Light, Weatherproof</t>
  </si>
  <si>
    <t>Ceiling Mounted Recessed Light</t>
  </si>
  <si>
    <t>Dual Spot Light, Weatherproof</t>
  </si>
  <si>
    <t>5-Light Chandelier</t>
  </si>
  <si>
    <t>LIGHTING FIXTURES</t>
  </si>
  <si>
    <t>Triplex Receptacle</t>
  </si>
  <si>
    <t>Duplex Receptacle, Arc Fault Circuit Interrupter</t>
  </si>
  <si>
    <t>RECEPTACLES</t>
  </si>
  <si>
    <t>2#12, 1#12 Gnd Cu Wire Service For Mechanical Equipment</t>
  </si>
  <si>
    <t>2#12, 1#12 Gnd Cu Wire Service For Lights</t>
  </si>
  <si>
    <t>2#12 Cu Wire Connection For Receptacles</t>
  </si>
  <si>
    <t>2#12 Cu Wire Connection For Lights</t>
  </si>
  <si>
    <t>4" Sq Blank Cover</t>
  </si>
  <si>
    <t>4X1 1/2" Sq Box Comb Ko</t>
  </si>
  <si>
    <t>1/2" 1-H Strap - Emt - Steel</t>
  </si>
  <si>
    <t>1/2" Coupling Ss Stl - Emt</t>
  </si>
  <si>
    <t>1/2" Conn Ss Stl - Emt</t>
  </si>
  <si>
    <t>Carbon Monoxide Detector</t>
  </si>
  <si>
    <t>SECURITY SYSTEM OUTLETS</t>
  </si>
  <si>
    <t>DIV.28 ELECTRONIC SAFETY &amp; SECURITY</t>
  </si>
  <si>
    <t>Electronic Safety &amp; Security</t>
  </si>
  <si>
    <t>6" Wide Concrete Foundation Wall, Reinforced With 1#4 Horizontal Rebar And #4 Dowels @ 48" O.C.</t>
  </si>
  <si>
    <t>4" Thick Concrete Slab On Grade Over 4" Thick Compacted Fill</t>
  </si>
  <si>
    <t>8" X 8" Non Bearing Step At Garage (4 LF)</t>
  </si>
  <si>
    <t>12" Wide X 12" Deep Concrete Turndown, Reinforced With 2#4 Continuous Rebars (16 LF)</t>
  </si>
  <si>
    <t>8" Wide X 4" Deep Turndown At Edge of Slab (93 LF)</t>
  </si>
  <si>
    <t>Concrete For Turndowns</t>
  </si>
  <si>
    <t>16" Wide X 18" Deep Continuous Concrete Footing, Reinforced With 2#4 Continuous Bars At Top and Bottom(21.17 LF)</t>
  </si>
  <si>
    <t>16" Wide X 12" Deep Concrete Turndown, Reinforced With 2#4 Continuous Rebars (28.54 LF)</t>
  </si>
  <si>
    <t>16" Wide X 8" Deep Continuous Concrete Footing, Reinforced With 2#4 Rebars (275.18 LF)</t>
  </si>
  <si>
    <t>Concrete For Continuous Footings</t>
  </si>
  <si>
    <t>F-3: 3'-0" X 5'-0" X 12" Isolated Square Footing, Reinforced With 3#4 Each Way (3 EA)</t>
  </si>
  <si>
    <t>F-2: 30" X 30" X 10" Isolated Square Footing, Reinforced With 3#4 Each Way (5 EA)</t>
  </si>
  <si>
    <t>F-1: 24" X 24" X 10" Isolated Square Footing, Reinforced With 2#4 Each Way (6 EA)</t>
  </si>
  <si>
    <t>12" X 12" X 8" Square Post Footing (5 EA)</t>
  </si>
  <si>
    <t>Concrete For Isolated Footings</t>
  </si>
  <si>
    <t>4'-0" X 2'-0" X 1'-4" Concrete Pedestal, Reinforced With #2 Ties</t>
  </si>
  <si>
    <t>2'-0" X 2'-0" X 1'-4" Concrete Pedestal, Reinforced With #2 Ties (2 EA)</t>
  </si>
  <si>
    <t>Concrete For Pedestals</t>
  </si>
  <si>
    <t>CONCRETE FOR FOUNDATION</t>
  </si>
  <si>
    <t>Formwork For Concrete Walls</t>
  </si>
  <si>
    <t>Formwork For Slab On Grade</t>
  </si>
  <si>
    <t>Formwork For Turndowns</t>
  </si>
  <si>
    <t>Formwork For Continuous Footings</t>
  </si>
  <si>
    <t>Formwork For Isolated Footings</t>
  </si>
  <si>
    <t>Formwork For Pedestals</t>
  </si>
  <si>
    <t>FORM WORK</t>
  </si>
  <si>
    <t>A34 Simpson At Each Brace</t>
  </si>
  <si>
    <t>8d Nails</t>
  </si>
  <si>
    <t>Simpson OHU48-SDS3</t>
  </si>
  <si>
    <t>Simpson STHD14</t>
  </si>
  <si>
    <t>Simpson STHD10</t>
  </si>
  <si>
    <t>Simpson LUS48 Hangers</t>
  </si>
  <si>
    <t>Simpson LUS26 Hangers</t>
  </si>
  <si>
    <t>Simpson H2.5A</t>
  </si>
  <si>
    <t>Simpson HHUS28-2 Hanger</t>
  </si>
  <si>
    <t>16D Nails</t>
  </si>
  <si>
    <t>Simpson LSTA18</t>
  </si>
  <si>
    <t>Simpson FHA18</t>
  </si>
  <si>
    <t>3/8" X 10" Lag Screws</t>
  </si>
  <si>
    <t>STRUCTURAL STEEL FRAMING</t>
  </si>
  <si>
    <t>8D Nails At Field Spacing = 12" O.C. And Edge Spacing = 6" O.C.</t>
  </si>
  <si>
    <t>Number of Sheets (Assumed Sheet Size = 8'-0" X 4'-0")</t>
  </si>
  <si>
    <t>Roof Sheathing: 1/2" OSB or Plywood</t>
  </si>
  <si>
    <t>SHEATHING</t>
  </si>
  <si>
    <t>Roof Rafter: 4 X 8 @ 24" O.C.</t>
  </si>
  <si>
    <t>Roof Rafter: 2 X 6 @ 24" O.C.</t>
  </si>
  <si>
    <t>Pre-Engineered Roof Trusses @ 24" O.C.</t>
  </si>
  <si>
    <t>WOODEN JOIST AND TRUSSES</t>
  </si>
  <si>
    <t>Wooden Post: 8 X 8 With ECCQ88 Post Caps (9 EA)</t>
  </si>
  <si>
    <t>Post: 2 X 6 (26 EA)</t>
  </si>
  <si>
    <t>WOODEN POSTS AND COLUMNS</t>
  </si>
  <si>
    <t>Header: 2 X 8</t>
  </si>
  <si>
    <t>Header: 2 X 6</t>
  </si>
  <si>
    <t>Girder Truss</t>
  </si>
  <si>
    <t>Beam: 8 X 12</t>
  </si>
  <si>
    <t>Beam: 8 X 10</t>
  </si>
  <si>
    <t>Beam: 3-1/8" X 12" Glulam</t>
  </si>
  <si>
    <t>WOODEN BEAMS AND HEADERS</t>
  </si>
  <si>
    <t>2X Continuous Blocking</t>
  </si>
  <si>
    <t>2 X 4 X 72" Tie @ Each Brace</t>
  </si>
  <si>
    <t>2 X 4 Diagonal Brace</t>
  </si>
  <si>
    <t>2X Blocking</t>
  </si>
  <si>
    <t>2 X 6 Ledger</t>
  </si>
  <si>
    <t>2 X 4 Blocking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</si>
</sst>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$&quot;#,##0"/>
    <numFmt numFmtId="169" formatCode="_(&quot;$&quot;* #,##0_);_(&quot;$&quot;* \(#,##0\);_(&quot;$&quot;* &quot;-&quot;?_);_(@_)"/>
    <numFmt numFmtId="170" formatCode="_(&quot;$&quot;* #,##0.0_);_(&quot;$&quot;* \(#,##0.0\);_(&quot;$&quot;* &quot;-&quot;??_);_(@_)"/>
    <numFmt numFmtId="171" formatCode="_-[$$-409]* #,##0.00_ ;_-[$$-409]* \-#,##0.00\ ;_-[$$-409]* &quot;-&quot;??_ ;_-@_ "/>
    <numFmt numFmtId="172" formatCode="0.0"/>
    <numFmt numFmtId="173" formatCode="[$-F800]dddd\,\ mmmm\ dd\,\ yyyy"/>
    <numFmt numFmtId="174" formatCode="0.0%"/>
    <numFmt numFmtId="175" formatCode="_(&quot;$&quot;* #,##0_);_(&quot;$&quot;* \(#,##0\);_(&quot;$&quot;* &quot;-&quot;??_);_(@_)"/>
  </numFmts>
  <fonts count="67" x14ac:knownFonts="1">
    <font>
      <sz val="12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indexed="9"/>
      <name val="Calibri"/>
      <family val="2"/>
      <scheme val="minor"/>
    </font>
    <font>
      <u/>
      <sz val="12"/>
      <name val="Calibri"/>
      <family val="2"/>
      <scheme val="minor"/>
    </font>
    <font>
      <b/>
      <sz val="12"/>
      <color indexed="6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 tint="-0.34998626667073579"/>
      <name val="Calibri"/>
      <family val="2"/>
      <scheme val="minor"/>
    </font>
    <font>
      <u/>
      <sz val="12"/>
      <color theme="0" tint="-0.34998626667073579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12"/>
      <name val="Arial"/>
      <family val="2"/>
    </font>
    <font>
      <b/>
      <sz val="10"/>
      <name val="Arial"/>
      <family val="2"/>
    </font>
    <font>
      <b/>
      <sz val="12"/>
      <name val="Adobe Fan Heiti Std B"/>
      <family val="2"/>
      <charset val="128"/>
    </font>
    <font>
      <b/>
      <sz val="12"/>
      <name val="Arial"/>
      <family val="2"/>
    </font>
    <font>
      <sz val="12"/>
      <color rgb="FFFF0000"/>
      <name val="Calibri"/>
      <family val="2"/>
      <scheme val="minor"/>
    </font>
    <font>
      <sz val="12"/>
      <name val="Adobe Fan Heiti Std B"/>
      <family val="2"/>
      <charset val="128"/>
    </font>
    <font>
      <b/>
      <sz val="14"/>
      <name val="Arial Black"/>
      <family val="2"/>
    </font>
  </fonts>
  <fills count="6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2"/>
      </bottom>
      <diagonal/>
    </border>
  </borders>
  <cellStyleXfs count="104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11" fillId="0" borderId="0"/>
    <xf numFmtId="0" fontId="11" fillId="23" borderId="7" applyNumberFormat="0" applyFont="0" applyAlignment="0" applyProtection="0"/>
    <xf numFmtId="0" fontId="25" fillId="20" borderId="8" applyNumberFormat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10" fillId="0" borderId="0"/>
    <xf numFmtId="0" fontId="29" fillId="0" borderId="0"/>
    <xf numFmtId="0" fontId="11" fillId="0" borderId="0"/>
    <xf numFmtId="167" fontId="29" fillId="0" borderId="0" applyFont="0" applyFill="0" applyBorder="0" applyAlignment="0" applyProtection="0"/>
    <xf numFmtId="0" fontId="30" fillId="0" borderId="0"/>
    <xf numFmtId="167" fontId="11" fillId="0" borderId="0" applyFont="0" applyFill="0" applyBorder="0" applyAlignment="0" applyProtection="0"/>
    <xf numFmtId="0" fontId="11" fillId="0" borderId="0"/>
    <xf numFmtId="166" fontId="30" fillId="0" borderId="0" applyFont="0" applyFill="0" applyBorder="0" applyAlignment="0" applyProtection="0"/>
    <xf numFmtId="0" fontId="9" fillId="0" borderId="0"/>
    <xf numFmtId="0" fontId="11" fillId="0" borderId="0"/>
    <xf numFmtId="0" fontId="9" fillId="0" borderId="0"/>
    <xf numFmtId="0" fontId="8" fillId="0" borderId="0"/>
    <xf numFmtId="0" fontId="7" fillId="0" borderId="0"/>
    <xf numFmtId="0" fontId="41" fillId="0" borderId="0" applyNumberFormat="0" applyFill="0" applyBorder="0" applyAlignment="0" applyProtection="0"/>
    <xf numFmtId="0" fontId="42" fillId="0" borderId="14" applyNumberFormat="0" applyFill="0" applyAlignment="0" applyProtection="0"/>
    <xf numFmtId="0" fontId="43" fillId="0" borderId="15" applyNumberFormat="0" applyFill="0" applyAlignment="0" applyProtection="0"/>
    <xf numFmtId="0" fontId="44" fillId="0" borderId="16" applyNumberFormat="0" applyFill="0" applyAlignment="0" applyProtection="0"/>
    <xf numFmtId="0" fontId="44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46" fillId="27" borderId="0" applyNumberFormat="0" applyBorder="0" applyAlignment="0" applyProtection="0"/>
    <xf numFmtId="0" fontId="47" fillId="28" borderId="0" applyNumberFormat="0" applyBorder="0" applyAlignment="0" applyProtection="0"/>
    <xf numFmtId="0" fontId="48" fillId="29" borderId="17" applyNumberFormat="0" applyAlignment="0" applyProtection="0"/>
    <xf numFmtId="0" fontId="49" fillId="30" borderId="18" applyNumberFormat="0" applyAlignment="0" applyProtection="0"/>
    <xf numFmtId="0" fontId="50" fillId="30" borderId="17" applyNumberFormat="0" applyAlignment="0" applyProtection="0"/>
    <xf numFmtId="0" fontId="51" fillId="0" borderId="19" applyNumberFormat="0" applyFill="0" applyAlignment="0" applyProtection="0"/>
    <xf numFmtId="0" fontId="52" fillId="31" borderId="20" applyNumberFormat="0" applyAlignment="0" applyProtection="0"/>
    <xf numFmtId="0" fontId="53" fillId="0" borderId="0" applyNumberFormat="0" applyFill="0" applyBorder="0" applyAlignment="0" applyProtection="0"/>
    <xf numFmtId="0" fontId="7" fillId="32" borderId="21" applyNumberFormat="0" applyFont="0" applyAlignment="0" applyProtection="0"/>
    <xf numFmtId="0" fontId="54" fillId="0" borderId="0" applyNumberFormat="0" applyFill="0" applyBorder="0" applyAlignment="0" applyProtection="0"/>
    <xf numFmtId="0" fontId="55" fillId="0" borderId="22" applyNumberFormat="0" applyFill="0" applyAlignment="0" applyProtection="0"/>
    <xf numFmtId="0" fontId="56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56" fillId="40" borderId="0" applyNumberFormat="0" applyBorder="0" applyAlignment="0" applyProtection="0"/>
    <xf numFmtId="0" fontId="56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3" borderId="0" applyNumberFormat="0" applyBorder="0" applyAlignment="0" applyProtection="0"/>
    <xf numFmtId="0" fontId="56" fillId="44" borderId="0" applyNumberFormat="0" applyBorder="0" applyAlignment="0" applyProtection="0"/>
    <xf numFmtId="0" fontId="56" fillId="45" borderId="0" applyNumberFormat="0" applyBorder="0" applyAlignment="0" applyProtection="0"/>
    <xf numFmtId="0" fontId="7" fillId="46" borderId="0" applyNumberFormat="0" applyBorder="0" applyAlignment="0" applyProtection="0"/>
    <xf numFmtId="0" fontId="7" fillId="47" borderId="0" applyNumberFormat="0" applyBorder="0" applyAlignment="0" applyProtection="0"/>
    <xf numFmtId="0" fontId="56" fillId="48" borderId="0" applyNumberFormat="0" applyBorder="0" applyAlignment="0" applyProtection="0"/>
    <xf numFmtId="0" fontId="56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51" borderId="0" applyNumberFormat="0" applyBorder="0" applyAlignment="0" applyProtection="0"/>
    <xf numFmtId="0" fontId="56" fillId="52" borderId="0" applyNumberFormat="0" applyBorder="0" applyAlignment="0" applyProtection="0"/>
    <xf numFmtId="0" fontId="56" fillId="53" borderId="0" applyNumberFormat="0" applyBorder="0" applyAlignment="0" applyProtection="0"/>
    <xf numFmtId="0" fontId="7" fillId="54" borderId="0" applyNumberFormat="0" applyBorder="0" applyAlignment="0" applyProtection="0"/>
    <xf numFmtId="0" fontId="7" fillId="55" borderId="0" applyNumberFormat="0" applyBorder="0" applyAlignment="0" applyProtection="0"/>
    <xf numFmtId="0" fontId="56" fillId="56" borderId="0" applyNumberFormat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9" fontId="60" fillId="0" borderId="0" applyFont="0" applyFill="0" applyBorder="0" applyAlignment="0" applyProtection="0"/>
  </cellStyleXfs>
  <cellXfs count="132">
    <xf numFmtId="0" fontId="0" fillId="0" borderId="0" xfId="0"/>
    <xf numFmtId="0" fontId="31" fillId="0" borderId="0" xfId="0" applyFont="1" applyAlignment="1">
      <alignment vertical="top"/>
    </xf>
    <xf numFmtId="165" fontId="31" fillId="0" borderId="0" xfId="45" applyNumberFormat="1" applyFont="1" applyFill="1" applyAlignment="1">
      <alignment vertical="center"/>
    </xf>
    <xf numFmtId="0" fontId="31" fillId="0" borderId="0" xfId="45" applyFont="1" applyFill="1" applyAlignment="1">
      <alignment vertical="center"/>
    </xf>
    <xf numFmtId="0" fontId="34" fillId="0" borderId="0" xfId="0" applyFont="1" applyFill="1" applyAlignment="1">
      <alignment vertical="center"/>
    </xf>
    <xf numFmtId="0" fontId="33" fillId="0" borderId="0" xfId="0" applyFont="1" applyFill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2" fontId="31" fillId="0" borderId="0" xfId="0" applyNumberFormat="1" applyFont="1" applyAlignment="1">
      <alignment vertical="center" wrapText="1"/>
    </xf>
    <xf numFmtId="0" fontId="35" fillId="20" borderId="12" xfId="39" applyFont="1" applyBorder="1" applyAlignment="1">
      <alignment vertical="center"/>
    </xf>
    <xf numFmtId="164" fontId="35" fillId="20" borderId="10" xfId="39" applyNumberFormat="1" applyFont="1" applyBorder="1" applyAlignment="1">
      <alignment vertical="center"/>
    </xf>
    <xf numFmtId="2" fontId="31" fillId="0" borderId="0" xfId="0" applyNumberFormat="1" applyFont="1" applyAlignment="1">
      <alignment horizontal="center" vertical="center" wrapText="1"/>
    </xf>
    <xf numFmtId="168" fontId="31" fillId="0" borderId="0" xfId="0" applyNumberFormat="1" applyFont="1" applyAlignment="1">
      <alignment vertical="center"/>
    </xf>
    <xf numFmtId="9" fontId="31" fillId="0" borderId="0" xfId="0" applyNumberFormat="1" applyFont="1" applyBorder="1" applyAlignment="1">
      <alignment vertical="center"/>
    </xf>
    <xf numFmtId="170" fontId="31" fillId="0" borderId="0" xfId="0" applyNumberFormat="1" applyFont="1" applyBorder="1" applyAlignment="1">
      <alignment vertical="center"/>
    </xf>
    <xf numFmtId="0" fontId="37" fillId="0" borderId="0" xfId="0" applyFont="1" applyAlignment="1">
      <alignment vertical="top"/>
    </xf>
    <xf numFmtId="0" fontId="38" fillId="0" borderId="0" xfId="0" applyFont="1" applyFill="1" applyAlignment="1">
      <alignment vertical="center"/>
    </xf>
    <xf numFmtId="0" fontId="37" fillId="0" borderId="0" xfId="45" applyFont="1" applyFill="1" applyAlignment="1">
      <alignment vertical="center"/>
    </xf>
    <xf numFmtId="0" fontId="35" fillId="20" borderId="11" xfId="39" applyFont="1" applyBorder="1" applyAlignment="1">
      <alignment vertical="top"/>
    </xf>
    <xf numFmtId="0" fontId="32" fillId="0" borderId="0" xfId="0" applyFont="1" applyFill="1" applyBorder="1" applyAlignment="1">
      <alignment horizontal="justify" vertical="center"/>
    </xf>
    <xf numFmtId="1" fontId="32" fillId="0" borderId="0" xfId="0" applyNumberFormat="1" applyFont="1" applyFill="1" applyBorder="1" applyAlignment="1">
      <alignment horizontal="right" vertical="center"/>
    </xf>
    <xf numFmtId="9" fontId="32" fillId="0" borderId="0" xfId="0" applyNumberFormat="1" applyFont="1" applyBorder="1" applyAlignment="1">
      <alignment vertical="center"/>
    </xf>
    <xf numFmtId="0" fontId="32" fillId="0" borderId="0" xfId="0" applyFont="1" applyFill="1" applyBorder="1" applyAlignment="1">
      <alignment horizontal="center" vertical="center"/>
    </xf>
    <xf numFmtId="170" fontId="35" fillId="20" borderId="12" xfId="39" applyNumberFormat="1" applyFont="1" applyBorder="1" applyAlignment="1">
      <alignment vertical="center"/>
    </xf>
    <xf numFmtId="170" fontId="31" fillId="0" borderId="0" xfId="0" applyNumberFormat="1" applyFont="1" applyAlignment="1">
      <alignment vertical="center" wrapText="1"/>
    </xf>
    <xf numFmtId="171" fontId="31" fillId="0" borderId="0" xfId="45" applyNumberFormat="1" applyFont="1" applyFill="1" applyBorder="1" applyAlignment="1">
      <alignment vertical="center"/>
    </xf>
    <xf numFmtId="1" fontId="35" fillId="20" borderId="12" xfId="39" applyNumberFormat="1" applyFont="1" applyBorder="1" applyAlignment="1">
      <alignment vertical="center"/>
    </xf>
    <xf numFmtId="1" fontId="31" fillId="0" borderId="0" xfId="0" applyNumberFormat="1" applyFont="1" applyAlignment="1">
      <alignment horizontal="center" vertical="center" wrapText="1"/>
    </xf>
    <xf numFmtId="170" fontId="31" fillId="0" borderId="0" xfId="0" applyNumberFormat="1" applyFont="1" applyFill="1" applyBorder="1" applyAlignment="1">
      <alignment vertical="center"/>
    </xf>
    <xf numFmtId="0" fontId="35" fillId="20" borderId="12" xfId="39" applyFont="1" applyBorder="1" applyAlignment="1">
      <alignment horizontal="center" vertical="center"/>
    </xf>
    <xf numFmtId="165" fontId="32" fillId="0" borderId="0" xfId="0" applyNumberFormat="1" applyFont="1" applyFill="1" applyBorder="1" applyAlignment="1">
      <alignment horizontal="center" vertical="center"/>
    </xf>
    <xf numFmtId="165" fontId="31" fillId="0" borderId="0" xfId="0" applyNumberFormat="1" applyFont="1" applyFill="1" applyBorder="1" applyAlignment="1">
      <alignment horizontal="center" vertical="center"/>
    </xf>
    <xf numFmtId="0" fontId="35" fillId="20" borderId="25" xfId="39" applyFont="1" applyBorder="1" applyAlignment="1">
      <alignment vertical="top"/>
    </xf>
    <xf numFmtId="1" fontId="57" fillId="0" borderId="0" xfId="100" applyNumberFormat="1" applyFont="1" applyBorder="1" applyAlignment="1">
      <alignment horizontal="right" vertical="center"/>
    </xf>
    <xf numFmtId="165" fontId="31" fillId="0" borderId="0" xfId="0" applyNumberFormat="1" applyFont="1" applyBorder="1" applyAlignment="1">
      <alignment horizontal="center" vertical="center"/>
    </xf>
    <xf numFmtId="0" fontId="57" fillId="0" borderId="0" xfId="102" applyFont="1" applyBorder="1" applyAlignment="1">
      <alignment horizontal="center" vertical="center"/>
    </xf>
    <xf numFmtId="171" fontId="31" fillId="0" borderId="0" xfId="45" applyNumberFormat="1" applyFont="1" applyBorder="1" applyAlignment="1">
      <alignment vertical="center"/>
    </xf>
    <xf numFmtId="0" fontId="57" fillId="0" borderId="0" xfId="97" applyFont="1" applyBorder="1" applyAlignment="1">
      <alignment horizontal="center" vertical="center"/>
    </xf>
    <xf numFmtId="1" fontId="57" fillId="0" borderId="0" xfId="98" applyNumberFormat="1" applyFont="1" applyBorder="1" applyAlignment="1">
      <alignment horizontal="right" vertical="center"/>
    </xf>
    <xf numFmtId="0" fontId="57" fillId="0" borderId="0" xfId="102" applyFont="1" applyBorder="1" applyAlignment="1">
      <alignment wrapText="1"/>
    </xf>
    <xf numFmtId="0" fontId="40" fillId="0" borderId="26" xfId="41" applyFont="1" applyFill="1" applyBorder="1" applyAlignment="1">
      <alignment vertical="top" wrapText="1"/>
    </xf>
    <xf numFmtId="170" fontId="32" fillId="0" borderId="25" xfId="0" applyNumberFormat="1" applyFont="1" applyBorder="1" applyAlignment="1">
      <alignment vertical="center"/>
    </xf>
    <xf numFmtId="169" fontId="32" fillId="25" borderId="27" xfId="38" applyNumberFormat="1" applyFont="1" applyFill="1" applyBorder="1" applyAlignment="1" applyProtection="1">
      <alignment horizontal="left" vertical="center"/>
    </xf>
    <xf numFmtId="0" fontId="31" fillId="0" borderId="24" xfId="45" applyFont="1" applyFill="1" applyBorder="1" applyAlignment="1">
      <alignment vertical="center"/>
    </xf>
    <xf numFmtId="2" fontId="31" fillId="0" borderId="0" xfId="45" applyNumberFormat="1" applyFont="1" applyFill="1" applyBorder="1" applyAlignment="1">
      <alignment horizontal="center" vertical="center"/>
    </xf>
    <xf numFmtId="172" fontId="31" fillId="0" borderId="0" xfId="45" applyNumberFormat="1" applyFont="1" applyFill="1" applyBorder="1" applyAlignment="1">
      <alignment horizontal="center" vertical="center"/>
    </xf>
    <xf numFmtId="0" fontId="31" fillId="0" borderId="24" xfId="45" applyFont="1" applyFill="1" applyBorder="1" applyAlignment="1">
      <alignment horizontal="center" vertical="center"/>
    </xf>
    <xf numFmtId="1" fontId="36" fillId="24" borderId="28" xfId="34" applyNumberFormat="1" applyFont="1" applyFill="1" applyBorder="1" applyAlignment="1" applyProtection="1">
      <alignment horizontal="center" vertical="center" wrapText="1"/>
    </xf>
    <xf numFmtId="2" fontId="36" fillId="24" borderId="28" xfId="34" applyNumberFormat="1" applyFont="1" applyFill="1" applyBorder="1" applyAlignment="1" applyProtection="1">
      <alignment horizontal="center" vertical="center" wrapText="1"/>
    </xf>
    <xf numFmtId="0" fontId="36" fillId="24" borderId="28" xfId="34" applyFont="1" applyFill="1" applyBorder="1" applyAlignment="1" applyProtection="1">
      <alignment horizontal="center" vertical="center" wrapText="1"/>
    </xf>
    <xf numFmtId="170" fontId="36" fillId="24" borderId="28" xfId="34" applyNumberFormat="1" applyFont="1" applyFill="1" applyBorder="1" applyAlignment="1" applyProtection="1">
      <alignment horizontal="center" vertical="center" wrapText="1"/>
    </xf>
    <xf numFmtId="0" fontId="39" fillId="0" borderId="25" xfId="0" applyFont="1" applyBorder="1" applyAlignment="1">
      <alignment horizontal="center" vertical="center"/>
    </xf>
    <xf numFmtId="0" fontId="39" fillId="0" borderId="23" xfId="0" applyFont="1" applyBorder="1" applyAlignment="1">
      <alignment horizontal="center" vertical="center"/>
    </xf>
    <xf numFmtId="0" fontId="40" fillId="0" borderId="29" xfId="41" applyFont="1" applyFill="1" applyBorder="1" applyAlignment="1">
      <alignment horizontal="center" vertical="center"/>
    </xf>
    <xf numFmtId="171" fontId="32" fillId="0" borderId="25" xfId="45" applyNumberFormat="1" applyFont="1" applyFill="1" applyBorder="1" applyAlignment="1">
      <alignment vertical="center"/>
    </xf>
    <xf numFmtId="172" fontId="32" fillId="0" borderId="23" xfId="45" applyNumberFormat="1" applyFont="1" applyFill="1" applyBorder="1" applyAlignment="1">
      <alignment horizontal="center" vertical="center"/>
    </xf>
    <xf numFmtId="1" fontId="57" fillId="0" borderId="0" xfId="100" applyNumberFormat="1" applyFont="1" applyBorder="1" applyAlignment="1">
      <alignment horizontal="right" vertical="center" wrapText="1"/>
    </xf>
    <xf numFmtId="9" fontId="31" fillId="0" borderId="0" xfId="0" applyNumberFormat="1" applyFont="1" applyBorder="1" applyAlignment="1">
      <alignment vertical="center" wrapText="1"/>
    </xf>
    <xf numFmtId="165" fontId="31" fillId="0" borderId="0" xfId="0" applyNumberFormat="1" applyFont="1" applyBorder="1" applyAlignment="1">
      <alignment horizontal="center" vertical="center" wrapText="1"/>
    </xf>
    <xf numFmtId="0" fontId="57" fillId="0" borderId="0" xfId="102" applyFont="1" applyBorder="1" applyAlignment="1">
      <alignment horizontal="center" vertical="center" wrapText="1"/>
    </xf>
    <xf numFmtId="165" fontId="31" fillId="0" borderId="0" xfId="45" applyNumberFormat="1" applyFont="1" applyFill="1" applyAlignment="1">
      <alignment vertical="center" wrapText="1"/>
    </xf>
    <xf numFmtId="0" fontId="31" fillId="0" borderId="0" xfId="45" applyFont="1" applyFill="1" applyAlignment="1">
      <alignment vertical="center" wrapText="1"/>
    </xf>
    <xf numFmtId="0" fontId="37" fillId="0" borderId="0" xfId="45" applyFont="1" applyFill="1" applyAlignment="1">
      <alignment vertical="center" wrapText="1"/>
    </xf>
    <xf numFmtId="0" fontId="35" fillId="20" borderId="31" xfId="39" applyFont="1" applyBorder="1" applyAlignment="1">
      <alignment vertical="top"/>
    </xf>
    <xf numFmtId="1" fontId="40" fillId="0" borderId="33" xfId="41" applyNumberFormat="1" applyFont="1" applyFill="1" applyBorder="1" applyAlignment="1" applyProtection="1">
      <alignment horizontal="center" vertical="center"/>
    </xf>
    <xf numFmtId="168" fontId="40" fillId="0" borderId="33" xfId="41" applyNumberFormat="1" applyFont="1" applyFill="1" applyBorder="1" applyAlignment="1" applyProtection="1">
      <alignment horizontal="center" vertical="center"/>
    </xf>
    <xf numFmtId="0" fontId="40" fillId="0" borderId="33" xfId="41" applyFont="1" applyFill="1" applyBorder="1" applyAlignment="1">
      <alignment horizontal="center" vertical="center"/>
    </xf>
    <xf numFmtId="170" fontId="40" fillId="0" borderId="33" xfId="41" applyNumberFormat="1" applyFont="1" applyFill="1" applyBorder="1" applyAlignment="1">
      <alignment vertical="center"/>
    </xf>
    <xf numFmtId="174" fontId="40" fillId="0" borderId="33" xfId="103" applyNumberFormat="1" applyFont="1" applyFill="1" applyBorder="1" applyAlignment="1">
      <alignment horizontal="center" vertical="center"/>
    </xf>
    <xf numFmtId="175" fontId="40" fillId="0" borderId="33" xfId="41" applyNumberFormat="1" applyFont="1" applyFill="1" applyBorder="1" applyAlignment="1">
      <alignment horizontal="left" vertical="center"/>
    </xf>
    <xf numFmtId="9" fontId="40" fillId="0" borderId="33" xfId="103" applyFont="1" applyFill="1" applyBorder="1" applyAlignment="1">
      <alignment horizontal="center" vertical="center"/>
    </xf>
    <xf numFmtId="1" fontId="40" fillId="0" borderId="36" xfId="41" applyNumberFormat="1" applyFont="1" applyFill="1" applyBorder="1" applyAlignment="1" applyProtection="1">
      <alignment horizontal="center" vertical="center"/>
    </xf>
    <xf numFmtId="168" fontId="40" fillId="0" borderId="36" xfId="41" applyNumberFormat="1" applyFont="1" applyFill="1" applyBorder="1" applyAlignment="1" applyProtection="1">
      <alignment horizontal="center" vertical="center"/>
    </xf>
    <xf numFmtId="0" fontId="40" fillId="0" borderId="36" xfId="41" applyFont="1" applyFill="1" applyBorder="1" applyAlignment="1">
      <alignment horizontal="center" vertical="center"/>
    </xf>
    <xf numFmtId="170" fontId="40" fillId="0" borderId="36" xfId="41" applyNumberFormat="1" applyFont="1" applyFill="1" applyBorder="1" applyAlignment="1">
      <alignment vertical="center"/>
    </xf>
    <xf numFmtId="169" fontId="40" fillId="0" borderId="36" xfId="41" applyNumberFormat="1" applyFont="1" applyFill="1" applyBorder="1" applyAlignment="1">
      <alignment horizontal="left" vertical="center"/>
    </xf>
    <xf numFmtId="0" fontId="57" fillId="0" borderId="0" xfId="102" applyFont="1" applyBorder="1" applyAlignment="1"/>
    <xf numFmtId="170" fontId="31" fillId="0" borderId="37" xfId="0" applyNumberFormat="1" applyFont="1" applyFill="1" applyBorder="1" applyAlignment="1">
      <alignment vertical="center"/>
    </xf>
    <xf numFmtId="164" fontId="40" fillId="0" borderId="33" xfId="41" applyNumberFormat="1" applyFont="1" applyFill="1" applyBorder="1" applyAlignment="1">
      <alignment vertical="center"/>
    </xf>
    <xf numFmtId="164" fontId="40" fillId="0" borderId="39" xfId="41" applyNumberFormat="1" applyFont="1" applyFill="1" applyBorder="1" applyAlignment="1">
      <alignment vertical="center"/>
    </xf>
    <xf numFmtId="175" fontId="40" fillId="0" borderId="39" xfId="41" applyNumberFormat="1" applyFont="1" applyFill="1" applyBorder="1" applyAlignment="1">
      <alignment vertical="center"/>
    </xf>
    <xf numFmtId="164" fontId="40" fillId="0" borderId="38" xfId="41" applyNumberFormat="1" applyFont="1" applyFill="1" applyBorder="1" applyAlignment="1">
      <alignment vertical="center"/>
    </xf>
    <xf numFmtId="0" fontId="40" fillId="0" borderId="41" xfId="41" applyFont="1" applyFill="1" applyBorder="1" applyAlignment="1">
      <alignment vertical="top" wrapText="1"/>
    </xf>
    <xf numFmtId="0" fontId="40" fillId="0" borderId="39" xfId="41" applyFont="1" applyFill="1" applyBorder="1" applyAlignment="1">
      <alignment vertical="top" wrapText="1"/>
    </xf>
    <xf numFmtId="0" fontId="40" fillId="0" borderId="38" xfId="41" applyFont="1" applyFill="1" applyBorder="1" applyAlignment="1">
      <alignment vertical="top" wrapText="1"/>
    </xf>
    <xf numFmtId="0" fontId="32" fillId="0" borderId="40" xfId="45" applyFont="1" applyFill="1" applyBorder="1" applyAlignment="1">
      <alignment vertical="center"/>
    </xf>
    <xf numFmtId="2" fontId="36" fillId="24" borderId="28" xfId="34" applyNumberFormat="1" applyFont="1" applyFill="1" applyBorder="1" applyAlignment="1" applyProtection="1">
      <alignment horizontal="center" vertical="center"/>
    </xf>
    <xf numFmtId="0" fontId="36" fillId="24" borderId="32" xfId="102" applyFont="1" applyFill="1" applyBorder="1" applyAlignment="1"/>
    <xf numFmtId="0" fontId="57" fillId="0" borderId="0" xfId="98" applyFont="1" applyBorder="1" applyAlignment="1"/>
    <xf numFmtId="0" fontId="40" fillId="0" borderId="33" xfId="41" applyFont="1" applyFill="1" applyBorder="1" applyAlignment="1">
      <alignment vertical="top"/>
    </xf>
    <xf numFmtId="0" fontId="40" fillId="0" borderId="36" xfId="41" applyFont="1" applyFill="1" applyBorder="1" applyAlignment="1">
      <alignment vertical="top"/>
    </xf>
    <xf numFmtId="2" fontId="31" fillId="0" borderId="0" xfId="0" applyNumberFormat="1" applyFont="1" applyAlignment="1">
      <alignment vertical="top"/>
    </xf>
    <xf numFmtId="0" fontId="32" fillId="0" borderId="37" xfId="45" applyFont="1" applyFill="1" applyBorder="1" applyAlignment="1">
      <alignment vertical="center" wrapText="1"/>
    </xf>
    <xf numFmtId="0" fontId="57" fillId="0" borderId="0" xfId="102" applyFont="1" applyBorder="1" applyAlignment="1">
      <alignment horizontal="right" wrapText="1"/>
    </xf>
    <xf numFmtId="171" fontId="30" fillId="0" borderId="10" xfId="0" applyNumberFormat="1" applyFont="1" applyBorder="1" applyAlignment="1">
      <alignment horizontal="center"/>
    </xf>
    <xf numFmtId="0" fontId="36" fillId="0" borderId="10" xfId="102" applyFont="1" applyBorder="1" applyAlignment="1">
      <alignment wrapText="1"/>
    </xf>
    <xf numFmtId="0" fontId="64" fillId="0" borderId="0" xfId="102" applyFont="1" applyBorder="1" applyAlignment="1">
      <alignment wrapText="1"/>
    </xf>
    <xf numFmtId="0" fontId="63" fillId="24" borderId="10" xfId="0" applyFont="1" applyFill="1" applyBorder="1" applyAlignment="1">
      <alignment horizontal="center" vertical="center"/>
    </xf>
    <xf numFmtId="171" fontId="61" fillId="57" borderId="10" xfId="0" applyNumberFormat="1" applyFont="1" applyFill="1" applyBorder="1" applyAlignment="1">
      <alignment horizontal="center"/>
    </xf>
    <xf numFmtId="171" fontId="61" fillId="57" borderId="10" xfId="0" applyNumberFormat="1" applyFont="1" applyFill="1" applyBorder="1" applyAlignment="1">
      <alignment horizontal="center" vertical="center"/>
    </xf>
    <xf numFmtId="171" fontId="61" fillId="59" borderId="10" xfId="0" applyNumberFormat="1" applyFont="1" applyFill="1" applyBorder="1" applyAlignment="1">
      <alignment horizontal="center"/>
    </xf>
    <xf numFmtId="0" fontId="32" fillId="0" borderId="37" xfId="45" applyFont="1" applyFill="1" applyBorder="1" applyAlignment="1">
      <alignment vertical="center"/>
    </xf>
    <xf numFmtId="171" fontId="31" fillId="60" borderId="0" xfId="45" applyNumberFormat="1" applyFont="1" applyFill="1" applyBorder="1" applyAlignment="1">
      <alignment vertical="center"/>
    </xf>
    <xf numFmtId="2" fontId="31" fillId="60" borderId="0" xfId="45" applyNumberFormat="1" applyFont="1" applyFill="1" applyBorder="1" applyAlignment="1">
      <alignment horizontal="center" vertical="center"/>
    </xf>
    <xf numFmtId="172" fontId="31" fillId="60" borderId="0" xfId="45" applyNumberFormat="1" applyFont="1" applyFill="1" applyBorder="1" applyAlignment="1">
      <alignment horizontal="center" vertical="center"/>
    </xf>
    <xf numFmtId="170" fontId="31" fillId="60" borderId="0" xfId="0" applyNumberFormat="1" applyFont="1" applyFill="1" applyBorder="1" applyAlignment="1">
      <alignment vertical="center"/>
    </xf>
    <xf numFmtId="0" fontId="36" fillId="0" borderId="0" xfId="102" applyFont="1" applyBorder="1" applyAlignment="1">
      <alignment wrapText="1"/>
    </xf>
    <xf numFmtId="0" fontId="32" fillId="0" borderId="37" xfId="45" applyFont="1" applyFill="1" applyBorder="1" applyAlignment="1">
      <alignment horizontal="center" vertical="center" wrapText="1"/>
    </xf>
    <xf numFmtId="0" fontId="32" fillId="0" borderId="40" xfId="45" applyFont="1" applyFill="1" applyBorder="1" applyAlignment="1">
      <alignment horizontal="center" vertical="center" wrapText="1"/>
    </xf>
    <xf numFmtId="0" fontId="59" fillId="0" borderId="34" xfId="0" applyFont="1" applyBorder="1" applyAlignment="1">
      <alignment horizontal="center" vertical="center"/>
    </xf>
    <xf numFmtId="0" fontId="59" fillId="0" borderId="24" xfId="0" applyFont="1" applyBorder="1" applyAlignment="1">
      <alignment horizontal="center" vertical="center"/>
    </xf>
    <xf numFmtId="164" fontId="59" fillId="0" borderId="35" xfId="0" applyNumberFormat="1" applyFont="1" applyBorder="1" applyAlignment="1">
      <alignment horizontal="center" vertical="center"/>
    </xf>
    <xf numFmtId="0" fontId="59" fillId="0" borderId="13" xfId="0" applyFont="1" applyBorder="1" applyAlignment="1">
      <alignment horizontal="center" vertical="center"/>
    </xf>
    <xf numFmtId="0" fontId="32" fillId="0" borderId="37" xfId="45" applyFont="1" applyFill="1" applyBorder="1" applyAlignment="1">
      <alignment horizontal="center" vertical="center"/>
    </xf>
    <xf numFmtId="0" fontId="32" fillId="0" borderId="28" xfId="45" applyFont="1" applyFill="1" applyBorder="1" applyAlignment="1">
      <alignment horizontal="center" vertical="center"/>
    </xf>
    <xf numFmtId="0" fontId="58" fillId="0" borderId="30" xfId="0" applyFont="1" applyFill="1" applyBorder="1" applyAlignment="1">
      <alignment horizontal="left" vertical="center"/>
    </xf>
    <xf numFmtId="0" fontId="58" fillId="0" borderId="31" xfId="0" applyFont="1" applyFill="1" applyBorder="1" applyAlignment="1">
      <alignment horizontal="left" vertical="center"/>
    </xf>
    <xf numFmtId="0" fontId="58" fillId="0" borderId="30" xfId="0" applyFont="1" applyFill="1" applyBorder="1" applyAlignment="1">
      <alignment horizontal="center" vertical="center"/>
    </xf>
    <xf numFmtId="0" fontId="58" fillId="0" borderId="31" xfId="0" applyFont="1" applyFill="1" applyBorder="1" applyAlignment="1">
      <alignment horizontal="center" vertical="center"/>
    </xf>
    <xf numFmtId="0" fontId="58" fillId="0" borderId="32" xfId="0" applyFont="1" applyFill="1" applyBorder="1" applyAlignment="1">
      <alignment horizontal="center" vertical="center"/>
    </xf>
    <xf numFmtId="173" fontId="58" fillId="0" borderId="30" xfId="0" applyNumberFormat="1" applyFont="1" applyFill="1" applyBorder="1" applyAlignment="1">
      <alignment horizontal="center" vertical="center"/>
    </xf>
    <xf numFmtId="173" fontId="58" fillId="0" borderId="31" xfId="0" applyNumberFormat="1" applyFont="1" applyFill="1" applyBorder="1" applyAlignment="1">
      <alignment horizontal="center" vertical="center"/>
    </xf>
    <xf numFmtId="173" fontId="58" fillId="0" borderId="32" xfId="0" applyNumberFormat="1" applyFont="1" applyFill="1" applyBorder="1" applyAlignment="1">
      <alignment horizontal="center" vertical="center"/>
    </xf>
    <xf numFmtId="0" fontId="30" fillId="0" borderId="10" xfId="0" applyFont="1" applyBorder="1" applyAlignment="1">
      <alignment horizontal="left"/>
    </xf>
    <xf numFmtId="0" fontId="63" fillId="24" borderId="10" xfId="0" applyFont="1" applyFill="1" applyBorder="1" applyAlignment="1">
      <alignment horizontal="center" vertical="center"/>
    </xf>
    <xf numFmtId="0" fontId="66" fillId="58" borderId="10" xfId="0" applyFont="1" applyFill="1" applyBorder="1" applyAlignment="1">
      <alignment horizontal="center" vertical="center"/>
    </xf>
    <xf numFmtId="0" fontId="65" fillId="0" borderId="10" xfId="0" applyFont="1" applyBorder="1" applyAlignment="1">
      <alignment horizontal="center"/>
    </xf>
    <xf numFmtId="14" fontId="62" fillId="0" borderId="10" xfId="0" applyNumberFormat="1" applyFont="1" applyBorder="1" applyAlignment="1">
      <alignment horizontal="center"/>
    </xf>
    <xf numFmtId="14" fontId="62" fillId="0" borderId="10" xfId="0" applyNumberFormat="1" applyFont="1" applyBorder="1" applyAlignment="1">
      <alignment horizontal="left"/>
    </xf>
    <xf numFmtId="0" fontId="63" fillId="57" borderId="10" xfId="0" applyFont="1" applyFill="1" applyBorder="1" applyAlignment="1">
      <alignment horizontal="center" vertical="center"/>
    </xf>
    <xf numFmtId="0" fontId="61" fillId="57" borderId="10" xfId="0" applyFont="1" applyFill="1" applyBorder="1" applyAlignment="1">
      <alignment horizontal="center"/>
    </xf>
    <xf numFmtId="0" fontId="61" fillId="0" borderId="10" xfId="0" applyFont="1" applyBorder="1" applyAlignment="1">
      <alignment horizontal="left"/>
    </xf>
    <xf numFmtId="9" fontId="61" fillId="0" borderId="10" xfId="0" applyNumberFormat="1" applyFont="1" applyBorder="1" applyAlignment="1">
      <alignment horizontal="center"/>
    </xf>
  </cellXfs>
  <cellStyles count="104">
    <cellStyle name="20% - Accent1" xfId="1" builtinId="30" customBuiltin="1"/>
    <cellStyle name="20% - Accent1 2" xfId="74"/>
    <cellStyle name="20% - Accent2" xfId="2" builtinId="34" customBuiltin="1"/>
    <cellStyle name="20% - Accent2 2" xfId="78"/>
    <cellStyle name="20% - Accent3" xfId="3" builtinId="38" customBuiltin="1"/>
    <cellStyle name="20% - Accent3 2" xfId="82"/>
    <cellStyle name="20% - Accent4" xfId="4" builtinId="42" customBuiltin="1"/>
    <cellStyle name="20% - Accent4 2" xfId="86"/>
    <cellStyle name="20% - Accent5" xfId="5" builtinId="46" customBuiltin="1"/>
    <cellStyle name="20% - Accent5 2" xfId="90"/>
    <cellStyle name="20% - Accent6" xfId="6" builtinId="50" customBuiltin="1"/>
    <cellStyle name="20% - Accent6 2" xfId="94"/>
    <cellStyle name="40% - Accent1" xfId="7" builtinId="31" customBuiltin="1"/>
    <cellStyle name="40% - Accent1 2" xfId="75"/>
    <cellStyle name="40% - Accent2" xfId="8" builtinId="35" customBuiltin="1"/>
    <cellStyle name="40% - Accent2 2" xfId="79"/>
    <cellStyle name="40% - Accent3" xfId="9" builtinId="39" customBuiltin="1"/>
    <cellStyle name="40% - Accent3 2" xfId="83"/>
    <cellStyle name="40% - Accent4" xfId="10" builtinId="43" customBuiltin="1"/>
    <cellStyle name="40% - Accent4 2" xfId="87"/>
    <cellStyle name="40% - Accent5" xfId="11" builtinId="47" customBuiltin="1"/>
    <cellStyle name="40% - Accent5 2" xfId="91"/>
    <cellStyle name="40% - Accent6" xfId="12" builtinId="51" customBuiltin="1"/>
    <cellStyle name="40% - Accent6 2" xfId="95"/>
    <cellStyle name="60% - Accent1" xfId="13" builtinId="32" customBuiltin="1"/>
    <cellStyle name="60% - Accent1 2" xfId="76"/>
    <cellStyle name="60% - Accent2" xfId="14" builtinId="36" customBuiltin="1"/>
    <cellStyle name="60% - Accent2 2" xfId="80"/>
    <cellStyle name="60% - Accent3" xfId="15" builtinId="40" customBuiltin="1"/>
    <cellStyle name="60% - Accent3 2" xfId="84"/>
    <cellStyle name="60% - Accent4" xfId="16" builtinId="44" customBuiltin="1"/>
    <cellStyle name="60% - Accent4 2" xfId="88"/>
    <cellStyle name="60% - Accent5" xfId="17" builtinId="48" customBuiltin="1"/>
    <cellStyle name="60% - Accent5 2" xfId="92"/>
    <cellStyle name="60% - Accent6" xfId="18" builtinId="52" customBuiltin="1"/>
    <cellStyle name="60% - Accent6 2" xfId="96"/>
    <cellStyle name="Accent1" xfId="19" builtinId="29" customBuiltin="1"/>
    <cellStyle name="Accent1 2" xfId="73"/>
    <cellStyle name="Accent2" xfId="20" builtinId="33" customBuiltin="1"/>
    <cellStyle name="Accent2 2" xfId="77"/>
    <cellStyle name="Accent3" xfId="21" builtinId="37" customBuiltin="1"/>
    <cellStyle name="Accent3 2" xfId="81"/>
    <cellStyle name="Accent4" xfId="22" builtinId="41" customBuiltin="1"/>
    <cellStyle name="Accent4 2" xfId="85"/>
    <cellStyle name="Accent5" xfId="23" builtinId="45" customBuiltin="1"/>
    <cellStyle name="Accent5 2" xfId="89"/>
    <cellStyle name="Accent6" xfId="24" builtinId="49" customBuiltin="1"/>
    <cellStyle name="Accent6 2" xfId="93"/>
    <cellStyle name="Bad" xfId="25" builtinId="27" customBuiltin="1"/>
    <cellStyle name="Bad 2" xfId="62"/>
    <cellStyle name="Calculation" xfId="26" builtinId="22" customBuiltin="1"/>
    <cellStyle name="Calculation 2" xfId="66"/>
    <cellStyle name="Check Cell" xfId="27" builtinId="23" customBuiltin="1"/>
    <cellStyle name="Check Cell 2" xfId="68"/>
    <cellStyle name="Comma 2" xfId="46"/>
    <cellStyle name="Comma 2 2" xfId="48"/>
    <cellStyle name="Currency 2" xfId="50"/>
    <cellStyle name="Explanatory Text" xfId="28" builtinId="53" customBuiltin="1"/>
    <cellStyle name="Explanatory Text 2" xfId="71"/>
    <cellStyle name="Good" xfId="29" builtinId="26" customBuiltin="1"/>
    <cellStyle name="Good 2" xfId="61"/>
    <cellStyle name="Heading 1" xfId="30" builtinId="16" customBuiltin="1"/>
    <cellStyle name="Heading 1 2" xfId="57"/>
    <cellStyle name="Heading 2" xfId="31" builtinId="17" customBuiltin="1"/>
    <cellStyle name="Heading 2 2" xfId="58"/>
    <cellStyle name="Heading 3" xfId="32" builtinId="18" customBuiltin="1"/>
    <cellStyle name="Heading 3 2" xfId="59"/>
    <cellStyle name="Heading 4" xfId="33" builtinId="19" customBuiltin="1"/>
    <cellStyle name="Heading 4 2" xfId="60"/>
    <cellStyle name="Input" xfId="34" builtinId="20" customBuiltin="1"/>
    <cellStyle name="Input 2" xfId="64"/>
    <cellStyle name="Linked Cell" xfId="35" builtinId="24" customBuiltin="1"/>
    <cellStyle name="Linked Cell 2" xfId="67"/>
    <cellStyle name="Neutral" xfId="36" builtinId="28" customBuiltin="1"/>
    <cellStyle name="Neutral 2" xfId="63"/>
    <cellStyle name="Normal" xfId="0" builtinId="0"/>
    <cellStyle name="Normal 10" xfId="99"/>
    <cellStyle name="Normal 11" xfId="100"/>
    <cellStyle name="Normal 12" xfId="101"/>
    <cellStyle name="Normal 13" xfId="102"/>
    <cellStyle name="Normal 2" xfId="44"/>
    <cellStyle name="Normal 2 2" xfId="47"/>
    <cellStyle name="Normal 2 3" xfId="45"/>
    <cellStyle name="Normal 2 3 2" xfId="52"/>
    <cellStyle name="Normal 3" xfId="37"/>
    <cellStyle name="Normal 4" xfId="43"/>
    <cellStyle name="Normal 4 2" xfId="53"/>
    <cellStyle name="Normal 4 3" xfId="51"/>
    <cellStyle name="Normal 5" xfId="49"/>
    <cellStyle name="Normal 6" xfId="55"/>
    <cellStyle name="Normal 7" xfId="54"/>
    <cellStyle name="Normal 8" xfId="97"/>
    <cellStyle name="Normal 9" xfId="98"/>
    <cellStyle name="Note" xfId="38" builtinId="10" customBuiltin="1"/>
    <cellStyle name="Note 2" xfId="70"/>
    <cellStyle name="Output" xfId="39" builtinId="21" customBuiltin="1"/>
    <cellStyle name="Output 2" xfId="65"/>
    <cellStyle name="Percent" xfId="103" builtinId="5"/>
    <cellStyle name="Title" xfId="40" builtinId="15" customBuiltin="1"/>
    <cellStyle name="Title 2" xfId="56"/>
    <cellStyle name="Total" xfId="41" builtinId="25" customBuiltin="1"/>
    <cellStyle name="Total 2" xfId="72"/>
    <cellStyle name="Warning Text" xfId="42" builtinId="11" customBuiltin="1"/>
    <cellStyle name="Warning Text 2" xfId="6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79"/>
  <sheetViews>
    <sheetView tabSelected="1" view="pageBreakPreview" topLeftCell="B1" zoomScale="55" zoomScaleNormal="80" zoomScaleSheetLayoutView="55" workbookViewId="0">
      <pane ySplit="4" topLeftCell="A383" activePane="bottomLeft" state="frozen"/>
      <selection pane="bottomLeft" activeCell="F403" sqref="F403"/>
    </sheetView>
  </sheetViews>
  <sheetFormatPr defaultColWidth="9.6328125" defaultRowHeight="15.6" x14ac:dyDescent="0.25"/>
  <cols>
    <col min="1" max="1" width="7.453125" style="1" customWidth="1"/>
    <col min="2" max="2" width="16.453125" style="1" customWidth="1"/>
    <col min="3" max="3" width="96.26953125" style="90" customWidth="1"/>
    <col min="4" max="4" width="10.08984375" style="26" bestFit="1" customWidth="1"/>
    <col min="5" max="5" width="10.453125" style="10" bestFit="1" customWidth="1"/>
    <col min="6" max="6" width="14.08984375" style="10" customWidth="1"/>
    <col min="7" max="7" width="6.81640625" style="6" bestFit="1" customWidth="1"/>
    <col min="8" max="8" width="15" style="6" customWidth="1"/>
    <col min="9" max="9" width="16.08984375" style="6" customWidth="1"/>
    <col min="10" max="10" width="13.81640625" style="6" customWidth="1"/>
    <col min="11" max="11" width="20.36328125" style="6" bestFit="1" customWidth="1"/>
    <col min="12" max="12" width="12.1796875" style="6" customWidth="1"/>
    <col min="13" max="13" width="13.81640625" style="23" customWidth="1"/>
    <col min="14" max="14" width="14.54296875" style="7" bestFit="1" customWidth="1"/>
    <col min="15" max="15" width="17.36328125" style="11" customWidth="1"/>
    <col min="16" max="16" width="8.36328125" style="1" customWidth="1"/>
    <col min="17" max="17" width="9.6328125" style="1"/>
    <col min="18" max="18" width="10.36328125" style="1" bestFit="1" customWidth="1"/>
    <col min="19" max="19" width="9.6328125" style="1"/>
    <col min="20" max="20" width="9.6328125" style="14"/>
    <col min="21" max="16384" width="9.6328125" style="1"/>
  </cols>
  <sheetData>
    <row r="1" spans="1:24" ht="24.6" x14ac:dyDescent="0.25">
      <c r="A1" s="114" t="s">
        <v>7</v>
      </c>
      <c r="B1" s="115"/>
      <c r="C1" s="116" t="s">
        <v>243</v>
      </c>
      <c r="D1" s="117"/>
      <c r="E1" s="117"/>
      <c r="F1" s="117"/>
      <c r="G1" s="117"/>
      <c r="H1" s="117"/>
      <c r="I1" s="117"/>
      <c r="J1" s="117"/>
      <c r="K1" s="117"/>
      <c r="L1" s="117"/>
      <c r="M1" s="118"/>
      <c r="N1" s="50" t="s">
        <v>0</v>
      </c>
      <c r="O1" s="51" t="s">
        <v>1</v>
      </c>
    </row>
    <row r="2" spans="1:24" ht="24.6" x14ac:dyDescent="0.25">
      <c r="A2" s="114" t="s">
        <v>8</v>
      </c>
      <c r="B2" s="115"/>
      <c r="C2" s="116" t="s">
        <v>244</v>
      </c>
      <c r="D2" s="117"/>
      <c r="E2" s="117"/>
      <c r="F2" s="117"/>
      <c r="G2" s="117"/>
      <c r="H2" s="117"/>
      <c r="I2" s="117"/>
      <c r="J2" s="117"/>
      <c r="K2" s="117"/>
      <c r="L2" s="117"/>
      <c r="M2" s="118"/>
      <c r="N2" s="108" t="s">
        <v>40</v>
      </c>
      <c r="O2" s="110">
        <f>O578</f>
        <v>758203.47051892977</v>
      </c>
    </row>
    <row r="3" spans="1:24" ht="24.6" x14ac:dyDescent="0.25">
      <c r="A3" s="114" t="s">
        <v>6</v>
      </c>
      <c r="B3" s="115"/>
      <c r="C3" s="119">
        <v>44952</v>
      </c>
      <c r="D3" s="120"/>
      <c r="E3" s="120"/>
      <c r="F3" s="120"/>
      <c r="G3" s="120"/>
      <c r="H3" s="120"/>
      <c r="I3" s="120"/>
      <c r="J3" s="120"/>
      <c r="K3" s="120"/>
      <c r="L3" s="120"/>
      <c r="M3" s="121"/>
      <c r="N3" s="109"/>
      <c r="O3" s="111"/>
    </row>
    <row r="4" spans="1:24" s="5" customFormat="1" ht="31.2" x14ac:dyDescent="0.25">
      <c r="A4" s="46" t="s">
        <v>22</v>
      </c>
      <c r="B4" s="46" t="s">
        <v>41</v>
      </c>
      <c r="C4" s="85" t="s">
        <v>14</v>
      </c>
      <c r="D4" s="46" t="s">
        <v>15</v>
      </c>
      <c r="E4" s="47" t="s">
        <v>16</v>
      </c>
      <c r="F4" s="47" t="s">
        <v>17</v>
      </c>
      <c r="G4" s="48" t="s">
        <v>9</v>
      </c>
      <c r="H4" s="48" t="s">
        <v>11</v>
      </c>
      <c r="I4" s="48" t="s">
        <v>12</v>
      </c>
      <c r="J4" s="48" t="s">
        <v>18</v>
      </c>
      <c r="K4" s="48" t="s">
        <v>19</v>
      </c>
      <c r="L4" s="48" t="s">
        <v>20</v>
      </c>
      <c r="M4" s="49" t="s">
        <v>10</v>
      </c>
      <c r="N4" s="47" t="s">
        <v>2</v>
      </c>
      <c r="O4" s="48" t="s">
        <v>13</v>
      </c>
      <c r="P4" s="4"/>
      <c r="Q4" s="4"/>
      <c r="R4" s="4"/>
      <c r="S4" s="4"/>
      <c r="T4" s="15"/>
      <c r="U4" s="4"/>
      <c r="V4" s="4"/>
      <c r="W4" s="4"/>
      <c r="X4" s="4"/>
    </row>
    <row r="5" spans="1:24" s="3" customFormat="1" x14ac:dyDescent="0.25">
      <c r="A5" s="31"/>
      <c r="B5" s="62"/>
      <c r="C5" s="17" t="s">
        <v>98</v>
      </c>
      <c r="D5" s="25"/>
      <c r="E5" s="8"/>
      <c r="F5" s="28"/>
      <c r="G5" s="8"/>
      <c r="H5" s="8"/>
      <c r="I5" s="8"/>
      <c r="J5" s="8"/>
      <c r="K5" s="8"/>
      <c r="L5" s="8"/>
      <c r="M5" s="22"/>
      <c r="N5" s="8"/>
      <c r="O5" s="9">
        <f>SUM(N7:N15)</f>
        <v>0</v>
      </c>
      <c r="P5" s="2"/>
      <c r="Q5" s="2"/>
      <c r="T5" s="16"/>
    </row>
    <row r="6" spans="1:24" s="3" customFormat="1" x14ac:dyDescent="0.25">
      <c r="A6" s="45" t="str">
        <f>IF(F6&lt;&gt;"",1+MAX($A$5:A5),"")</f>
        <v/>
      </c>
      <c r="B6" s="84"/>
      <c r="C6" s="18"/>
      <c r="D6" s="19"/>
      <c r="E6" s="20"/>
      <c r="F6" s="29"/>
      <c r="G6" s="21"/>
      <c r="H6" s="21"/>
      <c r="I6" s="21"/>
      <c r="J6" s="21"/>
      <c r="K6" s="21"/>
      <c r="L6" s="21"/>
      <c r="M6" s="27"/>
      <c r="N6" s="27"/>
      <c r="O6" s="76"/>
      <c r="P6" s="2"/>
      <c r="Q6" s="2"/>
      <c r="T6" s="16"/>
    </row>
    <row r="7" spans="1:24" s="60" customFormat="1" x14ac:dyDescent="0.3">
      <c r="A7" s="45">
        <f>IF(F7&lt;&gt;"",1+MAX($A$5:A6),"")</f>
        <v>1</v>
      </c>
      <c r="B7" s="91"/>
      <c r="C7" s="38" t="s">
        <v>112</v>
      </c>
      <c r="D7" s="55">
        <v>1</v>
      </c>
      <c r="E7" s="56">
        <v>0</v>
      </c>
      <c r="F7" s="57">
        <f t="shared" ref="F7:F14" si="0">(1+E7)*D7</f>
        <v>1</v>
      </c>
      <c r="G7" s="58" t="s">
        <v>99</v>
      </c>
      <c r="H7" s="101"/>
      <c r="I7" s="101"/>
      <c r="J7" s="102"/>
      <c r="K7" s="101"/>
      <c r="L7" s="103"/>
      <c r="M7" s="104"/>
      <c r="N7" s="27">
        <f t="shared" ref="N7" si="1">M7+I7</f>
        <v>0</v>
      </c>
      <c r="O7" s="76"/>
      <c r="P7" s="59"/>
      <c r="Q7" s="59"/>
      <c r="T7" s="61"/>
    </row>
    <row r="8" spans="1:24" s="60" customFormat="1" x14ac:dyDescent="0.3">
      <c r="A8" s="45">
        <f>IF(F8&lt;&gt;"",1+MAX($A$5:A7),"")</f>
        <v>2</v>
      </c>
      <c r="B8" s="91"/>
      <c r="C8" s="38" t="s">
        <v>100</v>
      </c>
      <c r="D8" s="55">
        <v>1</v>
      </c>
      <c r="E8" s="56">
        <v>0</v>
      </c>
      <c r="F8" s="57">
        <f t="shared" si="0"/>
        <v>1</v>
      </c>
      <c r="G8" s="58" t="s">
        <v>99</v>
      </c>
      <c r="H8" s="101"/>
      <c r="I8" s="101"/>
      <c r="J8" s="102"/>
      <c r="K8" s="101"/>
      <c r="L8" s="103"/>
      <c r="M8" s="104"/>
      <c r="N8" s="27">
        <f t="shared" ref="N8:N14" si="2">M8+I8</f>
        <v>0</v>
      </c>
      <c r="O8" s="76"/>
      <c r="P8" s="59"/>
      <c r="Q8" s="59"/>
      <c r="T8" s="61"/>
    </row>
    <row r="9" spans="1:24" s="60" customFormat="1" x14ac:dyDescent="0.3">
      <c r="A9" s="45">
        <f>IF(F9&lt;&gt;"",1+MAX($A$5:A8),"")</f>
        <v>3</v>
      </c>
      <c r="B9" s="91"/>
      <c r="C9" s="38" t="s">
        <v>101</v>
      </c>
      <c r="D9" s="55">
        <v>1</v>
      </c>
      <c r="E9" s="56">
        <v>0</v>
      </c>
      <c r="F9" s="57">
        <f t="shared" si="0"/>
        <v>1</v>
      </c>
      <c r="G9" s="58" t="s">
        <v>99</v>
      </c>
      <c r="H9" s="101"/>
      <c r="I9" s="101"/>
      <c r="J9" s="102"/>
      <c r="K9" s="101"/>
      <c r="L9" s="103"/>
      <c r="M9" s="104"/>
      <c r="N9" s="27">
        <f t="shared" si="2"/>
        <v>0</v>
      </c>
      <c r="O9" s="76"/>
      <c r="P9" s="59"/>
      <c r="Q9" s="59"/>
      <c r="T9" s="61"/>
    </row>
    <row r="10" spans="1:24" s="60" customFormat="1" x14ac:dyDescent="0.3">
      <c r="A10" s="45">
        <f>IF(F10&lt;&gt;"",1+MAX($A$5:A9),"")</f>
        <v>4</v>
      </c>
      <c r="B10" s="91"/>
      <c r="C10" s="38" t="s">
        <v>102</v>
      </c>
      <c r="D10" s="55">
        <v>1</v>
      </c>
      <c r="E10" s="56">
        <v>0</v>
      </c>
      <c r="F10" s="57">
        <f t="shared" si="0"/>
        <v>1</v>
      </c>
      <c r="G10" s="58" t="s">
        <v>99</v>
      </c>
      <c r="H10" s="101"/>
      <c r="I10" s="101"/>
      <c r="J10" s="102"/>
      <c r="K10" s="101"/>
      <c r="L10" s="103"/>
      <c r="M10" s="104"/>
      <c r="N10" s="27">
        <f t="shared" si="2"/>
        <v>0</v>
      </c>
      <c r="O10" s="76"/>
      <c r="P10" s="59"/>
      <c r="Q10" s="59"/>
      <c r="T10" s="61"/>
    </row>
    <row r="11" spans="1:24" s="60" customFormat="1" x14ac:dyDescent="0.3">
      <c r="A11" s="45">
        <f>IF(F11&lt;&gt;"",1+MAX($A$5:A10),"")</f>
        <v>5</v>
      </c>
      <c r="B11" s="91"/>
      <c r="C11" s="38" t="s">
        <v>103</v>
      </c>
      <c r="D11" s="55">
        <v>1</v>
      </c>
      <c r="E11" s="56">
        <v>0</v>
      </c>
      <c r="F11" s="57">
        <f t="shared" si="0"/>
        <v>1</v>
      </c>
      <c r="G11" s="58" t="s">
        <v>99</v>
      </c>
      <c r="H11" s="101"/>
      <c r="I11" s="101"/>
      <c r="J11" s="102"/>
      <c r="K11" s="101"/>
      <c r="L11" s="103"/>
      <c r="M11" s="104"/>
      <c r="N11" s="27">
        <f t="shared" si="2"/>
        <v>0</v>
      </c>
      <c r="O11" s="76"/>
      <c r="P11" s="59"/>
      <c r="Q11" s="59"/>
      <c r="T11" s="61"/>
    </row>
    <row r="12" spans="1:24" s="60" customFormat="1" x14ac:dyDescent="0.3">
      <c r="A12" s="45">
        <f>IF(F12&lt;&gt;"",1+MAX($A$5:A11),"")</f>
        <v>6</v>
      </c>
      <c r="B12" s="91"/>
      <c r="C12" s="38" t="s">
        <v>104</v>
      </c>
      <c r="D12" s="55">
        <v>1</v>
      </c>
      <c r="E12" s="56">
        <v>0</v>
      </c>
      <c r="F12" s="57">
        <f t="shared" si="0"/>
        <v>1</v>
      </c>
      <c r="G12" s="58" t="s">
        <v>99</v>
      </c>
      <c r="H12" s="101"/>
      <c r="I12" s="101"/>
      <c r="J12" s="102"/>
      <c r="K12" s="101"/>
      <c r="L12" s="103"/>
      <c r="M12" s="104"/>
      <c r="N12" s="27">
        <f t="shared" si="2"/>
        <v>0</v>
      </c>
      <c r="O12" s="76"/>
      <c r="P12" s="59"/>
      <c r="Q12" s="59"/>
      <c r="T12" s="61"/>
    </row>
    <row r="13" spans="1:24" s="60" customFormat="1" x14ac:dyDescent="0.3">
      <c r="A13" s="45">
        <f>IF(F13&lt;&gt;"",1+MAX($A$5:A12),"")</f>
        <v>7</v>
      </c>
      <c r="B13" s="91"/>
      <c r="C13" s="38" t="s">
        <v>105</v>
      </c>
      <c r="D13" s="55">
        <v>1</v>
      </c>
      <c r="E13" s="56">
        <v>0</v>
      </c>
      <c r="F13" s="57">
        <f t="shared" si="0"/>
        <v>1</v>
      </c>
      <c r="G13" s="58" t="s">
        <v>99</v>
      </c>
      <c r="H13" s="101"/>
      <c r="I13" s="101"/>
      <c r="J13" s="102"/>
      <c r="K13" s="101"/>
      <c r="L13" s="103"/>
      <c r="M13" s="104"/>
      <c r="N13" s="27">
        <f t="shared" si="2"/>
        <v>0</v>
      </c>
      <c r="O13" s="76"/>
      <c r="P13" s="59"/>
      <c r="Q13" s="59"/>
      <c r="T13" s="61"/>
    </row>
    <row r="14" spans="1:24" s="60" customFormat="1" x14ac:dyDescent="0.3">
      <c r="A14" s="45">
        <f>IF(F14&lt;&gt;"",1+MAX($A$5:A13),"")</f>
        <v>8</v>
      </c>
      <c r="B14" s="91"/>
      <c r="C14" s="38" t="s">
        <v>106</v>
      </c>
      <c r="D14" s="55">
        <v>1</v>
      </c>
      <c r="E14" s="56">
        <v>0</v>
      </c>
      <c r="F14" s="57">
        <f t="shared" si="0"/>
        <v>1</v>
      </c>
      <c r="G14" s="58" t="s">
        <v>99</v>
      </c>
      <c r="H14" s="101"/>
      <c r="I14" s="101"/>
      <c r="J14" s="102"/>
      <c r="K14" s="101"/>
      <c r="L14" s="103"/>
      <c r="M14" s="104"/>
      <c r="N14" s="27">
        <f t="shared" si="2"/>
        <v>0</v>
      </c>
      <c r="O14" s="76"/>
      <c r="P14" s="59"/>
      <c r="Q14" s="59"/>
      <c r="T14" s="61"/>
    </row>
    <row r="15" spans="1:24" s="60" customFormat="1" x14ac:dyDescent="0.3">
      <c r="A15" s="45" t="str">
        <f>IF(F15&lt;&gt;"",1+MAX($A$5:A14),"")</f>
        <v/>
      </c>
      <c r="B15" s="91"/>
      <c r="C15" s="38"/>
      <c r="D15" s="55"/>
      <c r="E15" s="56"/>
      <c r="F15" s="57"/>
      <c r="G15" s="58"/>
      <c r="H15" s="35"/>
      <c r="I15" s="35"/>
      <c r="J15" s="43"/>
      <c r="K15" s="24"/>
      <c r="L15" s="44"/>
      <c r="M15" s="27"/>
      <c r="N15" s="27"/>
      <c r="O15" s="76"/>
      <c r="P15" s="59"/>
      <c r="Q15" s="59"/>
      <c r="T15" s="61"/>
    </row>
    <row r="16" spans="1:24" s="3" customFormat="1" x14ac:dyDescent="0.25">
      <c r="A16" s="31"/>
      <c r="B16" s="62"/>
      <c r="C16" s="17" t="s">
        <v>131</v>
      </c>
      <c r="D16" s="25"/>
      <c r="E16" s="8"/>
      <c r="F16" s="28"/>
      <c r="G16" s="8"/>
      <c r="H16" s="8"/>
      <c r="I16" s="8"/>
      <c r="J16" s="8"/>
      <c r="K16" s="8"/>
      <c r="L16" s="8"/>
      <c r="M16" s="22"/>
      <c r="N16" s="8"/>
      <c r="O16" s="9">
        <f>SUM(N18:N52)</f>
        <v>42961.991166822569</v>
      </c>
      <c r="P16" s="59"/>
      <c r="Q16" s="2"/>
      <c r="T16" s="16"/>
    </row>
    <row r="17" spans="1:20" s="3" customFormat="1" x14ac:dyDescent="0.25">
      <c r="A17" s="45" t="str">
        <f>IF(F17&lt;&gt;"",1+MAX($A$5:A16),"")</f>
        <v/>
      </c>
      <c r="B17" s="84"/>
      <c r="C17" s="18"/>
      <c r="D17" s="19"/>
      <c r="E17" s="20"/>
      <c r="F17" s="29"/>
      <c r="G17" s="21"/>
      <c r="H17" s="21"/>
      <c r="I17" s="21"/>
      <c r="J17" s="21"/>
      <c r="K17" s="21"/>
      <c r="L17" s="21"/>
      <c r="M17" s="40" t="s">
        <v>21</v>
      </c>
      <c r="N17" s="41">
        <v>38</v>
      </c>
      <c r="O17" s="76"/>
      <c r="P17" s="59"/>
      <c r="Q17" s="2"/>
      <c r="T17" s="16"/>
    </row>
    <row r="18" spans="1:20" s="60" customFormat="1" x14ac:dyDescent="0.3">
      <c r="A18" s="45" t="str">
        <f>IF(F18&lt;&gt;"",1+MAX($A$5:A17),"")</f>
        <v/>
      </c>
      <c r="B18" s="91"/>
      <c r="C18" s="86" t="s">
        <v>372</v>
      </c>
      <c r="D18" s="55"/>
      <c r="E18" s="56"/>
      <c r="F18" s="57"/>
      <c r="G18" s="58"/>
      <c r="H18" s="35"/>
      <c r="I18" s="35"/>
      <c r="J18" s="43"/>
      <c r="K18" s="24"/>
      <c r="L18" s="44"/>
      <c r="M18" s="27"/>
      <c r="N18" s="27"/>
      <c r="O18" s="76"/>
      <c r="P18" s="59"/>
      <c r="Q18" s="59"/>
      <c r="T18" s="61"/>
    </row>
    <row r="19" spans="1:20" s="60" customFormat="1" x14ac:dyDescent="0.3">
      <c r="A19" s="45">
        <f>IF(F19&lt;&gt;"",1+MAX($A$5:A18),"")</f>
        <v>9</v>
      </c>
      <c r="B19" s="91"/>
      <c r="C19" s="38" t="s">
        <v>371</v>
      </c>
      <c r="D19" s="55">
        <f>(2*2*(2+2)*1.33)+(2*2*(4+2)*1.33)</f>
        <v>53.2</v>
      </c>
      <c r="E19" s="56">
        <v>0.1</v>
      </c>
      <c r="F19" s="57">
        <f t="shared" ref="F19:F24" si="3">(1+E19)*D19</f>
        <v>58.52000000000001</v>
      </c>
      <c r="G19" s="58" t="s">
        <v>5</v>
      </c>
      <c r="H19" s="35">
        <v>1.3702751999999998</v>
      </c>
      <c r="I19" s="35">
        <f t="shared" ref="I19" si="4">H19*F19</f>
        <v>80.188504703999996</v>
      </c>
      <c r="J19" s="43">
        <v>4.1359999999999994E-2</v>
      </c>
      <c r="K19" s="24">
        <f>$N$17</f>
        <v>38</v>
      </c>
      <c r="L19" s="44">
        <f t="shared" ref="L19" si="5">J19*F19</f>
        <v>2.4203872</v>
      </c>
      <c r="M19" s="27">
        <f t="shared" ref="M19" si="6">L19*K19</f>
        <v>91.974713600000001</v>
      </c>
      <c r="N19" s="27">
        <f t="shared" ref="N19" si="7">M19+I19</f>
        <v>172.163218304</v>
      </c>
      <c r="O19" s="76"/>
      <c r="P19" s="59"/>
      <c r="Q19" s="59"/>
      <c r="T19" s="61"/>
    </row>
    <row r="20" spans="1:20" s="60" customFormat="1" x14ac:dyDescent="0.3">
      <c r="A20" s="45">
        <f>IF(F20&lt;&gt;"",1+MAX($A$5:A19),"")</f>
        <v>10</v>
      </c>
      <c r="B20" s="91"/>
      <c r="C20" s="38" t="s">
        <v>370</v>
      </c>
      <c r="D20" s="55">
        <f>(5*2*(1+1)*0.67)+(6*2*(2+2)*0.83)+(5*2*(2.5+2.5)*0.83)+(3*2*(3+5)*1)</f>
        <v>142.74</v>
      </c>
      <c r="E20" s="56">
        <v>0.1</v>
      </c>
      <c r="F20" s="57">
        <f t="shared" si="3"/>
        <v>157.01400000000001</v>
      </c>
      <c r="G20" s="58" t="s">
        <v>5</v>
      </c>
      <c r="H20" s="35">
        <v>1.3702751999999998</v>
      </c>
      <c r="I20" s="35">
        <f t="shared" ref="I20:I24" si="8">H20*F20</f>
        <v>215.15239025279999</v>
      </c>
      <c r="J20" s="43">
        <v>4.1359999999999994E-2</v>
      </c>
      <c r="K20" s="24">
        <f t="shared" ref="K20:K24" si="9">$N$17</f>
        <v>38</v>
      </c>
      <c r="L20" s="44">
        <f t="shared" ref="L20:L24" si="10">J20*F20</f>
        <v>6.4940990399999992</v>
      </c>
      <c r="M20" s="27">
        <f t="shared" ref="M20:M24" si="11">L20*K20</f>
        <v>246.77576351999997</v>
      </c>
      <c r="N20" s="27">
        <f t="shared" ref="N20:N24" si="12">M20+I20</f>
        <v>461.92815377279999</v>
      </c>
      <c r="O20" s="76"/>
      <c r="P20" s="59"/>
      <c r="Q20" s="59"/>
      <c r="T20" s="61"/>
    </row>
    <row r="21" spans="1:20" s="60" customFormat="1" x14ac:dyDescent="0.3">
      <c r="A21" s="45">
        <f>IF(F21&lt;&gt;"",1+MAX($A$5:A20),"")</f>
        <v>11</v>
      </c>
      <c r="B21" s="91"/>
      <c r="C21" s="38" t="s">
        <v>369</v>
      </c>
      <c r="D21" s="55">
        <f>2*(275.18*0.67)+2*(28.54*1)+2*(21.17*1.5)</f>
        <v>489.33120000000002</v>
      </c>
      <c r="E21" s="56">
        <v>0.1</v>
      </c>
      <c r="F21" s="57">
        <f t="shared" si="3"/>
        <v>538.26432000000011</v>
      </c>
      <c r="G21" s="58" t="s">
        <v>5</v>
      </c>
      <c r="H21" s="35">
        <v>1.3702751999999998</v>
      </c>
      <c r="I21" s="35">
        <f t="shared" si="8"/>
        <v>737.57024874086403</v>
      </c>
      <c r="J21" s="43">
        <v>4.1359999999999994E-2</v>
      </c>
      <c r="K21" s="24">
        <f t="shared" si="9"/>
        <v>38</v>
      </c>
      <c r="L21" s="44">
        <f t="shared" si="10"/>
        <v>22.262612275200002</v>
      </c>
      <c r="M21" s="27">
        <f t="shared" si="11"/>
        <v>845.97926645760003</v>
      </c>
      <c r="N21" s="27">
        <f t="shared" si="12"/>
        <v>1583.5495151984642</v>
      </c>
      <c r="O21" s="76"/>
      <c r="P21" s="59"/>
      <c r="Q21" s="59"/>
      <c r="T21" s="61"/>
    </row>
    <row r="22" spans="1:20" s="60" customFormat="1" x14ac:dyDescent="0.3">
      <c r="A22" s="45">
        <f>IF(F22&lt;&gt;"",1+MAX($A$5:A21),"")</f>
        <v>12</v>
      </c>
      <c r="B22" s="91"/>
      <c r="C22" s="38" t="s">
        <v>368</v>
      </c>
      <c r="D22" s="55">
        <f>(93*2*0.33)+(2*16*1)+(2*4*0.67)</f>
        <v>98.74</v>
      </c>
      <c r="E22" s="56">
        <v>0.1</v>
      </c>
      <c r="F22" s="57">
        <f t="shared" si="3"/>
        <v>108.614</v>
      </c>
      <c r="G22" s="58" t="s">
        <v>5</v>
      </c>
      <c r="H22" s="35">
        <v>1.3702751999999998</v>
      </c>
      <c r="I22" s="35">
        <f t="shared" si="8"/>
        <v>148.83107057279997</v>
      </c>
      <c r="J22" s="43">
        <v>4.1359999999999994E-2</v>
      </c>
      <c r="K22" s="24">
        <f t="shared" si="9"/>
        <v>38</v>
      </c>
      <c r="L22" s="44">
        <f t="shared" si="10"/>
        <v>4.4922750399999991</v>
      </c>
      <c r="M22" s="27">
        <f t="shared" si="11"/>
        <v>170.70645151999997</v>
      </c>
      <c r="N22" s="27">
        <f t="shared" si="12"/>
        <v>319.53752209279992</v>
      </c>
      <c r="O22" s="76"/>
      <c r="P22" s="59"/>
      <c r="Q22" s="59"/>
      <c r="T22" s="61"/>
    </row>
    <row r="23" spans="1:20" s="60" customFormat="1" x14ac:dyDescent="0.3">
      <c r="A23" s="45">
        <f>IF(F23&lt;&gt;"",1+MAX($A$5:A22),"")</f>
        <v>13</v>
      </c>
      <c r="B23" s="91"/>
      <c r="C23" s="38" t="s">
        <v>367</v>
      </c>
      <c r="D23" s="55">
        <f>(471.37*0.33)</f>
        <v>155.5521</v>
      </c>
      <c r="E23" s="56">
        <v>0.1</v>
      </c>
      <c r="F23" s="57">
        <f t="shared" si="3"/>
        <v>171.10731000000001</v>
      </c>
      <c r="G23" s="58" t="s">
        <v>5</v>
      </c>
      <c r="H23" s="35">
        <v>1.3702751999999998</v>
      </c>
      <c r="I23" s="35">
        <f t="shared" si="8"/>
        <v>234.46410343171198</v>
      </c>
      <c r="J23" s="43">
        <v>4.1359999999999994E-2</v>
      </c>
      <c r="K23" s="24">
        <f t="shared" si="9"/>
        <v>38</v>
      </c>
      <c r="L23" s="44">
        <f t="shared" si="10"/>
        <v>7.0769983415999995</v>
      </c>
      <c r="M23" s="27">
        <f t="shared" si="11"/>
        <v>268.92593698079997</v>
      </c>
      <c r="N23" s="27">
        <f t="shared" si="12"/>
        <v>503.39004041251195</v>
      </c>
      <c r="O23" s="76"/>
      <c r="P23" s="59"/>
      <c r="Q23" s="59"/>
      <c r="T23" s="61"/>
    </row>
    <row r="24" spans="1:20" s="60" customFormat="1" x14ac:dyDescent="0.3">
      <c r="A24" s="45">
        <f>IF(F24&lt;&gt;"",1+MAX($A$5:A23),"")</f>
        <v>14</v>
      </c>
      <c r="B24" s="91"/>
      <c r="C24" s="38" t="s">
        <v>366</v>
      </c>
      <c r="D24" s="55">
        <f>393*2</f>
        <v>786</v>
      </c>
      <c r="E24" s="56">
        <v>0.1</v>
      </c>
      <c r="F24" s="57">
        <f t="shared" si="3"/>
        <v>864.6</v>
      </c>
      <c r="G24" s="58" t="s">
        <v>5</v>
      </c>
      <c r="H24" s="35">
        <v>1.3702751999999998</v>
      </c>
      <c r="I24" s="35">
        <f t="shared" si="8"/>
        <v>1184.7399379199999</v>
      </c>
      <c r="J24" s="43">
        <v>4.1359999999999994E-2</v>
      </c>
      <c r="K24" s="24">
        <f t="shared" si="9"/>
        <v>38</v>
      </c>
      <c r="L24" s="44">
        <f t="shared" si="10"/>
        <v>35.759855999999999</v>
      </c>
      <c r="M24" s="27">
        <f t="shared" si="11"/>
        <v>1358.8745280000001</v>
      </c>
      <c r="N24" s="27">
        <f t="shared" si="12"/>
        <v>2543.6144659199999</v>
      </c>
      <c r="O24" s="76"/>
      <c r="P24" s="59"/>
      <c r="Q24" s="59"/>
      <c r="T24" s="61"/>
    </row>
    <row r="25" spans="1:20" s="60" customFormat="1" x14ac:dyDescent="0.3">
      <c r="A25" s="45" t="str">
        <f>IF(F25&lt;&gt;"",1+MAX($A$5:A24),"")</f>
        <v/>
      </c>
      <c r="B25" s="91"/>
      <c r="C25" s="38"/>
      <c r="D25" s="55"/>
      <c r="E25" s="56"/>
      <c r="F25" s="57"/>
      <c r="G25" s="58"/>
      <c r="H25" s="35"/>
      <c r="I25" s="35"/>
      <c r="J25" s="43"/>
      <c r="K25" s="24"/>
      <c r="L25" s="44"/>
      <c r="M25" s="27"/>
      <c r="N25" s="27"/>
      <c r="O25" s="76"/>
      <c r="P25" s="59"/>
      <c r="Q25" s="59"/>
      <c r="T25" s="61"/>
    </row>
    <row r="26" spans="1:20" s="60" customFormat="1" x14ac:dyDescent="0.3">
      <c r="A26" s="45" t="str">
        <f>IF(F26&lt;&gt;"",1+MAX($A$5:A25),"")</f>
        <v/>
      </c>
      <c r="B26" s="91"/>
      <c r="C26" s="86" t="s">
        <v>365</v>
      </c>
      <c r="D26" s="55"/>
      <c r="E26" s="56"/>
      <c r="F26" s="57"/>
      <c r="G26" s="58"/>
      <c r="H26" s="35"/>
      <c r="I26" s="35"/>
      <c r="J26" s="43"/>
      <c r="K26" s="24"/>
      <c r="L26" s="44"/>
      <c r="M26" s="27"/>
      <c r="N26" s="27"/>
      <c r="O26" s="76"/>
      <c r="P26" s="59"/>
      <c r="Q26" s="59"/>
      <c r="T26" s="61"/>
    </row>
    <row r="27" spans="1:20" s="60" customFormat="1" x14ac:dyDescent="0.3">
      <c r="A27" s="45" t="str">
        <f>IF(F27&lt;&gt;"",1+MAX($A$5:A26),"")</f>
        <v/>
      </c>
      <c r="B27" s="91"/>
      <c r="C27" s="94" t="s">
        <v>364</v>
      </c>
      <c r="D27" s="55"/>
      <c r="E27" s="56"/>
      <c r="F27" s="57"/>
      <c r="G27" s="58"/>
      <c r="H27" s="35"/>
      <c r="I27" s="35"/>
      <c r="J27" s="43"/>
      <c r="K27" s="24"/>
      <c r="L27" s="44"/>
      <c r="M27" s="27"/>
      <c r="N27" s="27"/>
      <c r="O27" s="76"/>
      <c r="P27" s="59"/>
      <c r="Q27" s="59"/>
      <c r="T27" s="61"/>
    </row>
    <row r="28" spans="1:20" s="60" customFormat="1" x14ac:dyDescent="0.3">
      <c r="A28" s="45">
        <f>IF(F28&lt;&gt;"",1+MAX($A$5:A27),"")</f>
        <v>15</v>
      </c>
      <c r="B28" s="91"/>
      <c r="C28" s="38" t="s">
        <v>363</v>
      </c>
      <c r="D28" s="55">
        <f>(2*2*2*1.33)/27</f>
        <v>0.39407407407407408</v>
      </c>
      <c r="E28" s="56">
        <v>0.05</v>
      </c>
      <c r="F28" s="57">
        <f>(1+E28)*D28</f>
        <v>0.4137777777777778</v>
      </c>
      <c r="G28" s="58" t="s">
        <v>134</v>
      </c>
      <c r="H28" s="35">
        <v>508.14371999999997</v>
      </c>
      <c r="I28" s="35">
        <f t="shared" ref="I28:I29" si="13">H28*F28</f>
        <v>210.25857925333332</v>
      </c>
      <c r="J28" s="43">
        <v>2.2935999999999996</v>
      </c>
      <c r="K28" s="24">
        <f t="shared" ref="K28:K29" si="14">$N$17</f>
        <v>38</v>
      </c>
      <c r="L28" s="44">
        <f t="shared" ref="L28:L29" si="15">J28*F28</f>
        <v>0.94904071111111099</v>
      </c>
      <c r="M28" s="27">
        <f t="shared" ref="M28:M29" si="16">L28*K28</f>
        <v>36.063547022222217</v>
      </c>
      <c r="N28" s="27">
        <f t="shared" ref="N28:N29" si="17">M28+I28</f>
        <v>246.32212627555555</v>
      </c>
      <c r="O28" s="76"/>
      <c r="P28" s="59"/>
      <c r="Q28" s="59"/>
      <c r="T28" s="61"/>
    </row>
    <row r="29" spans="1:20" s="60" customFormat="1" x14ac:dyDescent="0.3">
      <c r="A29" s="45">
        <f>IF(F29&lt;&gt;"",1+MAX($A$5:A28),"")</f>
        <v>16</v>
      </c>
      <c r="B29" s="91"/>
      <c r="C29" s="38" t="s">
        <v>362</v>
      </c>
      <c r="D29" s="55">
        <f>(1*4*2*1.33)/27</f>
        <v>0.39407407407407408</v>
      </c>
      <c r="E29" s="56">
        <v>0.05</v>
      </c>
      <c r="F29" s="57">
        <f>(1+E29)*D29</f>
        <v>0.4137777777777778</v>
      </c>
      <c r="G29" s="58" t="s">
        <v>134</v>
      </c>
      <c r="H29" s="35">
        <v>508.14371999999997</v>
      </c>
      <c r="I29" s="35">
        <f t="shared" si="13"/>
        <v>210.25857925333332</v>
      </c>
      <c r="J29" s="43">
        <v>2.2935999999999996</v>
      </c>
      <c r="K29" s="24">
        <f t="shared" si="14"/>
        <v>38</v>
      </c>
      <c r="L29" s="44">
        <f t="shared" si="15"/>
        <v>0.94904071111111099</v>
      </c>
      <c r="M29" s="27">
        <f t="shared" si="16"/>
        <v>36.063547022222217</v>
      </c>
      <c r="N29" s="27">
        <f t="shared" si="17"/>
        <v>246.32212627555555</v>
      </c>
      <c r="O29" s="76"/>
      <c r="P29" s="59"/>
      <c r="Q29" s="59"/>
      <c r="T29" s="61"/>
    </row>
    <row r="30" spans="1:20" s="60" customFormat="1" x14ac:dyDescent="0.3">
      <c r="A30" s="45" t="str">
        <f>IF(F30&lt;&gt;"",1+MAX($A$5:A29),"")</f>
        <v/>
      </c>
      <c r="B30" s="91"/>
      <c r="C30" s="38"/>
      <c r="D30" s="55"/>
      <c r="E30" s="56"/>
      <c r="F30" s="57"/>
      <c r="G30" s="58"/>
      <c r="H30" s="35"/>
      <c r="I30" s="35"/>
      <c r="J30" s="43"/>
      <c r="K30" s="24"/>
      <c r="L30" s="44"/>
      <c r="M30" s="27"/>
      <c r="N30" s="27"/>
      <c r="O30" s="76"/>
      <c r="P30" s="59"/>
      <c r="Q30" s="59"/>
      <c r="T30" s="61"/>
    </row>
    <row r="31" spans="1:20" s="60" customFormat="1" x14ac:dyDescent="0.3">
      <c r="A31" s="45" t="str">
        <f>IF(F31&lt;&gt;"",1+MAX($A$5:A30),"")</f>
        <v/>
      </c>
      <c r="B31" s="91"/>
      <c r="C31" s="94" t="s">
        <v>361</v>
      </c>
      <c r="D31" s="55"/>
      <c r="E31" s="56"/>
      <c r="F31" s="57"/>
      <c r="G31" s="58"/>
      <c r="H31" s="35"/>
      <c r="I31" s="35"/>
      <c r="J31" s="43"/>
      <c r="K31" s="24"/>
      <c r="L31" s="44"/>
      <c r="M31" s="27"/>
      <c r="N31" s="27"/>
      <c r="O31" s="76"/>
      <c r="P31" s="59"/>
      <c r="Q31" s="59"/>
      <c r="T31" s="61"/>
    </row>
    <row r="32" spans="1:20" s="60" customFormat="1" x14ac:dyDescent="0.3">
      <c r="A32" s="45">
        <f>IF(F32&lt;&gt;"",1+MAX($A$5:A31),"")</f>
        <v>17</v>
      </c>
      <c r="B32" s="91"/>
      <c r="C32" s="38" t="s">
        <v>360</v>
      </c>
      <c r="D32" s="55">
        <f>(5*1*1*0.67)/27</f>
        <v>0.12407407407407407</v>
      </c>
      <c r="E32" s="56">
        <v>0.05</v>
      </c>
      <c r="F32" s="57">
        <f>(1+E32)*D32</f>
        <v>0.13027777777777777</v>
      </c>
      <c r="G32" s="58" t="s">
        <v>134</v>
      </c>
      <c r="H32" s="35">
        <v>508.14371999999997</v>
      </c>
      <c r="I32" s="35">
        <f t="shared" ref="I32:I35" si="18">H32*F32</f>
        <v>66.199834633333325</v>
      </c>
      <c r="J32" s="43">
        <v>2.2935999999999996</v>
      </c>
      <c r="K32" s="24">
        <f t="shared" ref="K32:K35" si="19">$N$17</f>
        <v>38</v>
      </c>
      <c r="L32" s="44">
        <f t="shared" ref="L32:L35" si="20">J32*F32</f>
        <v>0.29880511111111102</v>
      </c>
      <c r="M32" s="27">
        <f t="shared" ref="M32:M35" si="21">L32*K32</f>
        <v>11.354594222222218</v>
      </c>
      <c r="N32" s="27">
        <f t="shared" ref="N32:N35" si="22">M32+I32</f>
        <v>77.554428855555543</v>
      </c>
      <c r="O32" s="76"/>
      <c r="P32" s="59"/>
      <c r="Q32" s="59"/>
      <c r="T32" s="61"/>
    </row>
    <row r="33" spans="1:20" s="60" customFormat="1" x14ac:dyDescent="0.3">
      <c r="A33" s="45">
        <f>IF(F33&lt;&gt;"",1+MAX($A$5:A32),"")</f>
        <v>18</v>
      </c>
      <c r="B33" s="91"/>
      <c r="C33" s="38" t="s">
        <v>359</v>
      </c>
      <c r="D33" s="55">
        <f>(6*2*2*0.83)/27</f>
        <v>0.73777777777777775</v>
      </c>
      <c r="E33" s="56">
        <v>0.05</v>
      </c>
      <c r="F33" s="57">
        <f>(1+E33)*D33</f>
        <v>0.77466666666666673</v>
      </c>
      <c r="G33" s="58" t="s">
        <v>134</v>
      </c>
      <c r="H33" s="35">
        <v>508.14371999999997</v>
      </c>
      <c r="I33" s="35">
        <f t="shared" si="18"/>
        <v>393.64200176000003</v>
      </c>
      <c r="J33" s="43">
        <v>2.2935999999999996</v>
      </c>
      <c r="K33" s="24">
        <f t="shared" si="19"/>
        <v>38</v>
      </c>
      <c r="L33" s="44">
        <f t="shared" si="20"/>
        <v>1.7767754666666664</v>
      </c>
      <c r="M33" s="27">
        <f t="shared" si="21"/>
        <v>67.517467733333319</v>
      </c>
      <c r="N33" s="27">
        <f t="shared" si="22"/>
        <v>461.15946949333335</v>
      </c>
      <c r="O33" s="76"/>
      <c r="P33" s="59"/>
      <c r="Q33" s="59"/>
      <c r="T33" s="61"/>
    </row>
    <row r="34" spans="1:20" s="60" customFormat="1" x14ac:dyDescent="0.3">
      <c r="A34" s="45">
        <f>IF(F34&lt;&gt;"",1+MAX($A$5:A33),"")</f>
        <v>19</v>
      </c>
      <c r="B34" s="91"/>
      <c r="C34" s="38" t="s">
        <v>358</v>
      </c>
      <c r="D34" s="55">
        <f>(5*2.5*2.5*0.83)/27</f>
        <v>0.96064814814814814</v>
      </c>
      <c r="E34" s="56">
        <v>0.05</v>
      </c>
      <c r="F34" s="57">
        <f>(1+E34)*D34</f>
        <v>1.0086805555555556</v>
      </c>
      <c r="G34" s="58" t="s">
        <v>134</v>
      </c>
      <c r="H34" s="35">
        <v>508.14371999999997</v>
      </c>
      <c r="I34" s="35">
        <f t="shared" si="18"/>
        <v>512.55468979166665</v>
      </c>
      <c r="J34" s="43">
        <v>2.2935999999999996</v>
      </c>
      <c r="K34" s="24">
        <f t="shared" si="19"/>
        <v>38</v>
      </c>
      <c r="L34" s="44">
        <f t="shared" si="20"/>
        <v>2.3135097222222218</v>
      </c>
      <c r="M34" s="27">
        <f t="shared" si="21"/>
        <v>87.913369444444427</v>
      </c>
      <c r="N34" s="27">
        <f t="shared" si="22"/>
        <v>600.46805923611112</v>
      </c>
      <c r="O34" s="76"/>
      <c r="P34" s="59"/>
      <c r="Q34" s="59"/>
      <c r="T34" s="61"/>
    </row>
    <row r="35" spans="1:20" s="60" customFormat="1" x14ac:dyDescent="0.3">
      <c r="A35" s="45">
        <f>IF(F35&lt;&gt;"",1+MAX($A$5:A34),"")</f>
        <v>20</v>
      </c>
      <c r="B35" s="91"/>
      <c r="C35" s="38" t="s">
        <v>357</v>
      </c>
      <c r="D35" s="55">
        <f>(3*3*5*1)/27</f>
        <v>1.6666666666666667</v>
      </c>
      <c r="E35" s="56">
        <v>0.05</v>
      </c>
      <c r="F35" s="57">
        <f>(1+E35)*D35</f>
        <v>1.7500000000000002</v>
      </c>
      <c r="G35" s="58" t="s">
        <v>134</v>
      </c>
      <c r="H35" s="35">
        <v>508.14371999999997</v>
      </c>
      <c r="I35" s="35">
        <f t="shared" si="18"/>
        <v>889.25151000000005</v>
      </c>
      <c r="J35" s="43">
        <v>2.2935999999999996</v>
      </c>
      <c r="K35" s="24">
        <f t="shared" si="19"/>
        <v>38</v>
      </c>
      <c r="L35" s="44">
        <f t="shared" si="20"/>
        <v>4.0137999999999998</v>
      </c>
      <c r="M35" s="27">
        <f t="shared" si="21"/>
        <v>152.52439999999999</v>
      </c>
      <c r="N35" s="27">
        <f t="shared" si="22"/>
        <v>1041.7759100000001</v>
      </c>
      <c r="O35" s="76"/>
      <c r="P35" s="59"/>
      <c r="Q35" s="59"/>
      <c r="T35" s="61"/>
    </row>
    <row r="36" spans="1:20" s="60" customFormat="1" x14ac:dyDescent="0.3">
      <c r="A36" s="45" t="str">
        <f>IF(F36&lt;&gt;"",1+MAX($A$5:A35),"")</f>
        <v/>
      </c>
      <c r="B36" s="91"/>
      <c r="C36" s="38"/>
      <c r="D36" s="55"/>
      <c r="E36" s="56"/>
      <c r="F36" s="57"/>
      <c r="G36" s="58"/>
      <c r="H36" s="35"/>
      <c r="I36" s="35"/>
      <c r="J36" s="43"/>
      <c r="K36" s="24"/>
      <c r="L36" s="44"/>
      <c r="M36" s="27"/>
      <c r="N36" s="27"/>
      <c r="O36" s="76"/>
      <c r="P36" s="59"/>
      <c r="Q36" s="59"/>
      <c r="T36" s="61"/>
    </row>
    <row r="37" spans="1:20" s="60" customFormat="1" x14ac:dyDescent="0.3">
      <c r="A37" s="45" t="str">
        <f>IF(F37&lt;&gt;"",1+MAX($A$5:A36),"")</f>
        <v/>
      </c>
      <c r="B37" s="91"/>
      <c r="C37" s="94" t="s">
        <v>356</v>
      </c>
      <c r="D37" s="55"/>
      <c r="E37" s="56"/>
      <c r="F37" s="57"/>
      <c r="G37" s="58"/>
      <c r="H37" s="35"/>
      <c r="I37" s="35"/>
      <c r="J37" s="43"/>
      <c r="K37" s="24"/>
      <c r="L37" s="44"/>
      <c r="M37" s="27"/>
      <c r="N37" s="27"/>
      <c r="O37" s="76"/>
      <c r="P37" s="59"/>
      <c r="Q37" s="59"/>
      <c r="T37" s="61"/>
    </row>
    <row r="38" spans="1:20" s="60" customFormat="1" x14ac:dyDescent="0.3">
      <c r="A38" s="45">
        <f>IF(F38&lt;&gt;"",1+MAX($A$5:A37),"")</f>
        <v>21</v>
      </c>
      <c r="B38" s="91"/>
      <c r="C38" s="38" t="s">
        <v>355</v>
      </c>
      <c r="D38" s="55">
        <f>(275.18*0.67*1.33)/27</f>
        <v>9.0819591851851875</v>
      </c>
      <c r="E38" s="56">
        <v>0.05</v>
      </c>
      <c r="F38" s="57">
        <f>(1+E38)*D38</f>
        <v>9.5360571444444471</v>
      </c>
      <c r="G38" s="58" t="s">
        <v>134</v>
      </c>
      <c r="H38" s="35">
        <v>508.14371999999997</v>
      </c>
      <c r="I38" s="35">
        <f t="shared" ref="I38:I40" si="23">H38*F38</f>
        <v>4845.6875515105785</v>
      </c>
      <c r="J38" s="43">
        <v>2.2935999999999996</v>
      </c>
      <c r="K38" s="24">
        <f t="shared" ref="K38:K40" si="24">$N$17</f>
        <v>38</v>
      </c>
      <c r="L38" s="44">
        <f t="shared" ref="L38:L40" si="25">J38*F38</f>
        <v>21.87190066649778</v>
      </c>
      <c r="M38" s="27">
        <f t="shared" ref="M38:M40" si="26">L38*K38</f>
        <v>831.13222532691566</v>
      </c>
      <c r="N38" s="27">
        <f t="shared" ref="N38:N40" si="27">M38+I38</f>
        <v>5676.8197768374939</v>
      </c>
      <c r="O38" s="76"/>
      <c r="P38" s="59"/>
      <c r="Q38" s="59"/>
      <c r="T38" s="61"/>
    </row>
    <row r="39" spans="1:20" s="60" customFormat="1" x14ac:dyDescent="0.3">
      <c r="A39" s="45">
        <f>IF(F39&lt;&gt;"",1+MAX($A$5:A38),"")</f>
        <v>22</v>
      </c>
      <c r="B39" s="91"/>
      <c r="C39" s="38" t="s">
        <v>354</v>
      </c>
      <c r="D39" s="55">
        <f>(27.54*1.33*1)/27</f>
        <v>1.3566</v>
      </c>
      <c r="E39" s="56">
        <v>0.05</v>
      </c>
      <c r="F39" s="57">
        <f>(1+E39)*D39</f>
        <v>1.4244300000000001</v>
      </c>
      <c r="G39" s="58" t="s">
        <v>134</v>
      </c>
      <c r="H39" s="35">
        <v>508.14371999999997</v>
      </c>
      <c r="I39" s="35">
        <f t="shared" si="23"/>
        <v>723.81515907959999</v>
      </c>
      <c r="J39" s="43">
        <v>2.2935999999999996</v>
      </c>
      <c r="K39" s="24">
        <f t="shared" si="24"/>
        <v>38</v>
      </c>
      <c r="L39" s="44">
        <f t="shared" si="25"/>
        <v>3.2670726479999996</v>
      </c>
      <c r="M39" s="27">
        <f t="shared" si="26"/>
        <v>124.14876062399999</v>
      </c>
      <c r="N39" s="27">
        <f t="shared" si="27"/>
        <v>847.96391970360003</v>
      </c>
      <c r="O39" s="76"/>
      <c r="P39" s="59"/>
      <c r="Q39" s="59"/>
      <c r="T39" s="61"/>
    </row>
    <row r="40" spans="1:20" s="60" customFormat="1" x14ac:dyDescent="0.3">
      <c r="A40" s="45">
        <f>IF(F40&lt;&gt;"",1+MAX($A$5:A39),"")</f>
        <v>23</v>
      </c>
      <c r="B40" s="91"/>
      <c r="C40" s="38" t="s">
        <v>353</v>
      </c>
      <c r="D40" s="55">
        <f>(21.17*1.33*1.5)/27</f>
        <v>1.5642277777777778</v>
      </c>
      <c r="E40" s="56">
        <v>0.05</v>
      </c>
      <c r="F40" s="57">
        <f>(1+E40)*D40</f>
        <v>1.6424391666666667</v>
      </c>
      <c r="G40" s="58" t="s">
        <v>134</v>
      </c>
      <c r="H40" s="35">
        <v>508.14371999999997</v>
      </c>
      <c r="I40" s="35">
        <f t="shared" si="23"/>
        <v>834.59514802369995</v>
      </c>
      <c r="J40" s="43">
        <v>2.2935999999999996</v>
      </c>
      <c r="K40" s="24">
        <f t="shared" si="24"/>
        <v>38</v>
      </c>
      <c r="L40" s="44">
        <f t="shared" si="25"/>
        <v>3.7670984726666661</v>
      </c>
      <c r="M40" s="27">
        <f t="shared" si="26"/>
        <v>143.14974196133332</v>
      </c>
      <c r="N40" s="27">
        <f t="shared" si="27"/>
        <v>977.7448899850333</v>
      </c>
      <c r="O40" s="76"/>
      <c r="P40" s="59"/>
      <c r="Q40" s="59"/>
      <c r="T40" s="61"/>
    </row>
    <row r="41" spans="1:20" s="60" customFormat="1" x14ac:dyDescent="0.3">
      <c r="A41" s="45" t="str">
        <f>IF(F41&lt;&gt;"",1+MAX($A$5:A40),"")</f>
        <v/>
      </c>
      <c r="B41" s="91"/>
      <c r="C41" s="38"/>
      <c r="D41" s="55"/>
      <c r="E41" s="56"/>
      <c r="F41" s="57"/>
      <c r="G41" s="58"/>
      <c r="H41" s="35"/>
      <c r="I41" s="35"/>
      <c r="J41" s="43"/>
      <c r="K41" s="24"/>
      <c r="L41" s="44"/>
      <c r="M41" s="27"/>
      <c r="N41" s="27"/>
      <c r="O41" s="76"/>
      <c r="P41" s="59"/>
      <c r="Q41" s="59"/>
      <c r="T41" s="61"/>
    </row>
    <row r="42" spans="1:20" s="60" customFormat="1" x14ac:dyDescent="0.3">
      <c r="A42" s="45" t="str">
        <f>IF(F42&lt;&gt;"",1+MAX($A$5:A41),"")</f>
        <v/>
      </c>
      <c r="B42" s="91"/>
      <c r="C42" s="94" t="s">
        <v>352</v>
      </c>
      <c r="D42" s="55"/>
      <c r="E42" s="56"/>
      <c r="F42" s="57"/>
      <c r="G42" s="58"/>
      <c r="H42" s="35"/>
      <c r="I42" s="35"/>
      <c r="J42" s="43"/>
      <c r="K42" s="24"/>
      <c r="L42" s="44"/>
      <c r="M42" s="27"/>
      <c r="N42" s="27"/>
      <c r="O42" s="76"/>
      <c r="P42" s="59"/>
      <c r="Q42" s="59"/>
      <c r="T42" s="61"/>
    </row>
    <row r="43" spans="1:20" s="60" customFormat="1" x14ac:dyDescent="0.3">
      <c r="A43" s="45">
        <f>IF(F43&lt;&gt;"",1+MAX($A$5:A42),"")</f>
        <v>24</v>
      </c>
      <c r="B43" s="91"/>
      <c r="C43" s="38" t="s">
        <v>351</v>
      </c>
      <c r="D43" s="55">
        <f>(93*0.67*0.33)/27</f>
        <v>0.76156666666666673</v>
      </c>
      <c r="E43" s="56">
        <v>0.05</v>
      </c>
      <c r="F43" s="57">
        <f>(1+E43)*D43</f>
        <v>0.79964500000000005</v>
      </c>
      <c r="G43" s="58" t="s">
        <v>134</v>
      </c>
      <c r="H43" s="35">
        <v>508.14371999999997</v>
      </c>
      <c r="I43" s="35">
        <f t="shared" ref="I43:I45" si="28">H43*F43</f>
        <v>406.33458497940001</v>
      </c>
      <c r="J43" s="43">
        <v>2.2935999999999996</v>
      </c>
      <c r="K43" s="24">
        <f t="shared" ref="K43:K45" si="29">$N$17</f>
        <v>38</v>
      </c>
      <c r="L43" s="44">
        <f t="shared" ref="L43:L45" si="30">J43*F43</f>
        <v>1.8340657719999998</v>
      </c>
      <c r="M43" s="27">
        <f t="shared" ref="M43:M45" si="31">L43*K43</f>
        <v>69.694499335999993</v>
      </c>
      <c r="N43" s="27">
        <f t="shared" ref="N43:N45" si="32">M43+I43</f>
        <v>476.02908431539998</v>
      </c>
      <c r="O43" s="76"/>
      <c r="P43" s="59"/>
      <c r="Q43" s="59"/>
      <c r="T43" s="61"/>
    </row>
    <row r="44" spans="1:20" s="60" customFormat="1" x14ac:dyDescent="0.3">
      <c r="A44" s="45">
        <f>IF(F44&lt;&gt;"",1+MAX($A$5:A43),"")</f>
        <v>25</v>
      </c>
      <c r="B44" s="91"/>
      <c r="C44" s="38" t="s">
        <v>350</v>
      </c>
      <c r="D44" s="55">
        <f>(16*1*1)/27</f>
        <v>0.59259259259259256</v>
      </c>
      <c r="E44" s="56">
        <v>0.05</v>
      </c>
      <c r="F44" s="57">
        <f>(1+E44)*D44</f>
        <v>0.62222222222222223</v>
      </c>
      <c r="G44" s="58" t="s">
        <v>134</v>
      </c>
      <c r="H44" s="35">
        <v>508.14371999999997</v>
      </c>
      <c r="I44" s="35">
        <f t="shared" si="28"/>
        <v>316.17831466666667</v>
      </c>
      <c r="J44" s="43">
        <v>2.2935999999999996</v>
      </c>
      <c r="K44" s="24">
        <f t="shared" si="29"/>
        <v>38</v>
      </c>
      <c r="L44" s="44">
        <f t="shared" si="30"/>
        <v>1.4271288888888887</v>
      </c>
      <c r="M44" s="27">
        <f t="shared" si="31"/>
        <v>54.23089777777777</v>
      </c>
      <c r="N44" s="27">
        <f t="shared" si="32"/>
        <v>370.40921244444445</v>
      </c>
      <c r="O44" s="76"/>
      <c r="P44" s="59"/>
      <c r="Q44" s="59"/>
      <c r="T44" s="61"/>
    </row>
    <row r="45" spans="1:20" s="60" customFormat="1" x14ac:dyDescent="0.3">
      <c r="A45" s="45">
        <f>IF(F45&lt;&gt;"",1+MAX($A$5:A44),"")</f>
        <v>26</v>
      </c>
      <c r="B45" s="91"/>
      <c r="C45" s="38" t="s">
        <v>349</v>
      </c>
      <c r="D45" s="55">
        <f>(4*0.67*0.67)/27</f>
        <v>6.6503703703703718E-2</v>
      </c>
      <c r="E45" s="56">
        <v>0.05</v>
      </c>
      <c r="F45" s="57">
        <f>(1+E45)*D45</f>
        <v>6.9828888888888913E-2</v>
      </c>
      <c r="G45" s="58" t="s">
        <v>134</v>
      </c>
      <c r="H45" s="35">
        <v>508.14371999999997</v>
      </c>
      <c r="I45" s="35">
        <f t="shared" si="28"/>
        <v>35.483111363466676</v>
      </c>
      <c r="J45" s="43">
        <v>2.2935999999999996</v>
      </c>
      <c r="K45" s="24">
        <f t="shared" si="29"/>
        <v>38</v>
      </c>
      <c r="L45" s="44">
        <f t="shared" si="30"/>
        <v>0.16015953955555559</v>
      </c>
      <c r="M45" s="27">
        <f t="shared" si="31"/>
        <v>6.0860625031111129</v>
      </c>
      <c r="N45" s="27">
        <f t="shared" si="32"/>
        <v>41.569173866577792</v>
      </c>
      <c r="O45" s="76"/>
      <c r="P45" s="59"/>
      <c r="Q45" s="59"/>
      <c r="T45" s="61"/>
    </row>
    <row r="46" spans="1:20" s="60" customFormat="1" x14ac:dyDescent="0.3">
      <c r="A46" s="45" t="str">
        <f>IF(F46&lt;&gt;"",1+MAX($A$5:A45),"")</f>
        <v/>
      </c>
      <c r="B46" s="91"/>
      <c r="C46" s="38"/>
      <c r="D46" s="55"/>
      <c r="E46" s="56"/>
      <c r="F46" s="57"/>
      <c r="G46" s="58"/>
      <c r="H46" s="35"/>
      <c r="I46" s="35"/>
      <c r="J46" s="43"/>
      <c r="K46" s="24"/>
      <c r="L46" s="44"/>
      <c r="M46" s="27"/>
      <c r="N46" s="27"/>
      <c r="O46" s="76"/>
      <c r="P46" s="59"/>
      <c r="Q46" s="59"/>
      <c r="T46" s="61"/>
    </row>
    <row r="47" spans="1:20" s="60" customFormat="1" x14ac:dyDescent="0.3">
      <c r="A47" s="45" t="str">
        <f>IF(F47&lt;&gt;"",1+MAX($A$5:A46),"")</f>
        <v/>
      </c>
      <c r="B47" s="91"/>
      <c r="C47" s="86" t="s">
        <v>133</v>
      </c>
      <c r="D47" s="55"/>
      <c r="E47" s="56"/>
      <c r="F47" s="57"/>
      <c r="G47" s="58"/>
      <c r="H47" s="35"/>
      <c r="I47" s="35"/>
      <c r="J47" s="43"/>
      <c r="K47" s="24"/>
      <c r="L47" s="44"/>
      <c r="M47" s="27"/>
      <c r="N47" s="27"/>
      <c r="O47" s="76"/>
      <c r="P47" s="59"/>
      <c r="Q47" s="59"/>
      <c r="T47" s="61"/>
    </row>
    <row r="48" spans="1:20" s="60" customFormat="1" x14ac:dyDescent="0.3">
      <c r="A48" s="45">
        <f>IF(F48&lt;&gt;"",1+MAX($A$5:A47),"")</f>
        <v>27</v>
      </c>
      <c r="B48" s="91"/>
      <c r="C48" s="38" t="s">
        <v>348</v>
      </c>
      <c r="D48" s="55">
        <v>3570</v>
      </c>
      <c r="E48" s="56">
        <v>0.05</v>
      </c>
      <c r="F48" s="57">
        <f>(1+E48)*D48</f>
        <v>3748.5</v>
      </c>
      <c r="G48" s="58" t="s">
        <v>5</v>
      </c>
      <c r="H48" s="35">
        <v>4.2345309999999996</v>
      </c>
      <c r="I48" s="35">
        <f t="shared" ref="I48" si="33">H48*F48</f>
        <v>15873.139453499998</v>
      </c>
      <c r="J48" s="43">
        <v>4.1359999999999994E-2</v>
      </c>
      <c r="K48" s="24">
        <f t="shared" ref="K48" si="34">$N$17</f>
        <v>38</v>
      </c>
      <c r="L48" s="44">
        <f t="shared" ref="L48" si="35">J48*F48</f>
        <v>155.03795999999997</v>
      </c>
      <c r="M48" s="27">
        <f t="shared" ref="M48" si="36">L48*K48</f>
        <v>5891.4424799999988</v>
      </c>
      <c r="N48" s="27">
        <f t="shared" ref="N48" si="37">M48+I48</f>
        <v>21764.581933499998</v>
      </c>
      <c r="O48" s="76"/>
      <c r="P48" s="59"/>
      <c r="Q48" s="59"/>
      <c r="T48" s="61"/>
    </row>
    <row r="49" spans="1:20" s="60" customFormat="1" x14ac:dyDescent="0.3">
      <c r="A49" s="45" t="str">
        <f>IF(F49&lt;&gt;"",1+MAX($A$5:A48),"")</f>
        <v/>
      </c>
      <c r="B49" s="91"/>
      <c r="C49" s="38"/>
      <c r="D49" s="55"/>
      <c r="E49" s="56"/>
      <c r="F49" s="57"/>
      <c r="G49" s="58"/>
      <c r="H49" s="35"/>
      <c r="I49" s="35"/>
      <c r="J49" s="43"/>
      <c r="K49" s="24"/>
      <c r="L49" s="44"/>
      <c r="M49" s="27"/>
      <c r="N49" s="27"/>
      <c r="O49" s="76"/>
      <c r="P49" s="59"/>
      <c r="Q49" s="59"/>
      <c r="T49" s="61"/>
    </row>
    <row r="50" spans="1:20" s="60" customFormat="1" x14ac:dyDescent="0.3">
      <c r="A50" s="45" t="str">
        <f>IF(F50&lt;&gt;"",1+MAX($A$5:A49),"")</f>
        <v/>
      </c>
      <c r="B50" s="91"/>
      <c r="C50" s="86" t="s">
        <v>132</v>
      </c>
      <c r="D50" s="55"/>
      <c r="E50" s="56"/>
      <c r="F50" s="57"/>
      <c r="G50" s="58"/>
      <c r="H50" s="35"/>
      <c r="I50" s="35"/>
      <c r="J50" s="43"/>
      <c r="K50" s="24"/>
      <c r="L50" s="44"/>
      <c r="M50" s="27"/>
      <c r="N50" s="27"/>
      <c r="O50" s="76"/>
      <c r="P50" s="59"/>
      <c r="Q50" s="59"/>
      <c r="T50" s="61"/>
    </row>
    <row r="51" spans="1:20" s="60" customFormat="1" x14ac:dyDescent="0.3">
      <c r="A51" s="45">
        <f>IF(F51&lt;&gt;"",1+MAX($A$5:A50),"")</f>
        <v>28</v>
      </c>
      <c r="B51" s="91"/>
      <c r="C51" s="38" t="s">
        <v>347</v>
      </c>
      <c r="D51" s="55">
        <f>(0.5*393)/27</f>
        <v>7.2777777777777777</v>
      </c>
      <c r="E51" s="56">
        <v>0.05</v>
      </c>
      <c r="F51" s="57">
        <f>(1+E51)*D51</f>
        <v>7.6416666666666666</v>
      </c>
      <c r="G51" s="58" t="s">
        <v>134</v>
      </c>
      <c r="H51" s="35">
        <v>508.14371999999997</v>
      </c>
      <c r="I51" s="35">
        <f t="shared" ref="I51" si="38">H51*F51</f>
        <v>3883.0649269999999</v>
      </c>
      <c r="J51" s="43">
        <v>2.2935999999999996</v>
      </c>
      <c r="K51" s="24">
        <f t="shared" ref="K51" si="39">$N$17</f>
        <v>38</v>
      </c>
      <c r="L51" s="44">
        <f t="shared" ref="L51" si="40">J51*F51</f>
        <v>17.526926666666665</v>
      </c>
      <c r="M51" s="27">
        <f t="shared" ref="M51" si="41">L51*K51</f>
        <v>666.02321333333327</v>
      </c>
      <c r="N51" s="27">
        <f t="shared" ref="N51" si="42">M51+I51</f>
        <v>4549.0881403333333</v>
      </c>
      <c r="O51" s="76"/>
      <c r="P51" s="59"/>
      <c r="Q51" s="59"/>
      <c r="T51" s="61"/>
    </row>
    <row r="52" spans="1:20" s="60" customFormat="1" x14ac:dyDescent="0.3">
      <c r="A52" s="45" t="str">
        <f>IF(F52&lt;&gt;"",1+MAX($A$5:A51),"")</f>
        <v/>
      </c>
      <c r="B52" s="91"/>
      <c r="C52" s="38"/>
      <c r="D52" s="55"/>
      <c r="E52" s="56"/>
      <c r="F52" s="57"/>
      <c r="G52" s="58"/>
      <c r="H52" s="35"/>
      <c r="I52" s="35"/>
      <c r="J52" s="43"/>
      <c r="K52" s="24"/>
      <c r="L52" s="44"/>
      <c r="M52" s="27"/>
      <c r="N52" s="27"/>
      <c r="O52" s="76"/>
      <c r="P52" s="59"/>
      <c r="Q52" s="59"/>
      <c r="T52" s="61"/>
    </row>
    <row r="53" spans="1:20" s="3" customFormat="1" x14ac:dyDescent="0.25">
      <c r="A53" s="31"/>
      <c r="B53" s="62"/>
      <c r="C53" s="17" t="s">
        <v>44</v>
      </c>
      <c r="D53" s="25"/>
      <c r="E53" s="8"/>
      <c r="F53" s="28"/>
      <c r="G53" s="8"/>
      <c r="H53" s="8"/>
      <c r="I53" s="8"/>
      <c r="J53" s="8"/>
      <c r="K53" s="8"/>
      <c r="L53" s="8"/>
      <c r="M53" s="22"/>
      <c r="N53" s="8"/>
      <c r="O53" s="9">
        <f>SUM(N55:N69)</f>
        <v>3433.0159894799995</v>
      </c>
      <c r="P53" s="59"/>
      <c r="Q53" s="2"/>
      <c r="T53" s="16"/>
    </row>
    <row r="54" spans="1:20" s="3" customFormat="1" x14ac:dyDescent="0.25">
      <c r="A54" s="45" t="str">
        <f>IF(F54&lt;&gt;"",1+MAX($A$5:A53),"")</f>
        <v/>
      </c>
      <c r="B54" s="84"/>
      <c r="C54" s="18"/>
      <c r="D54" s="19"/>
      <c r="E54" s="20"/>
      <c r="F54" s="29"/>
      <c r="G54" s="21"/>
      <c r="H54" s="21"/>
      <c r="I54" s="21"/>
      <c r="J54" s="21"/>
      <c r="K54" s="21"/>
      <c r="L54" s="21"/>
      <c r="M54" s="40" t="s">
        <v>21</v>
      </c>
      <c r="N54" s="41">
        <v>40</v>
      </c>
      <c r="O54" s="76"/>
      <c r="P54" s="59"/>
      <c r="Q54" s="2"/>
      <c r="T54" s="16"/>
    </row>
    <row r="55" spans="1:20" s="60" customFormat="1" x14ac:dyDescent="0.3">
      <c r="A55" s="45" t="str">
        <f>IF(F55&lt;&gt;"",1+MAX($A$5:A54),"")</f>
        <v/>
      </c>
      <c r="B55" s="91"/>
      <c r="C55" s="86" t="s">
        <v>386</v>
      </c>
      <c r="D55" s="55"/>
      <c r="E55" s="56"/>
      <c r="F55" s="57"/>
      <c r="G55" s="58"/>
      <c r="H55" s="35"/>
      <c r="I55" s="35"/>
      <c r="J55" s="43"/>
      <c r="K55" s="24"/>
      <c r="L55" s="44"/>
      <c r="M55" s="27"/>
      <c r="N55" s="27"/>
      <c r="O55" s="76"/>
      <c r="P55" s="59"/>
      <c r="Q55" s="59"/>
      <c r="T55" s="61"/>
    </row>
    <row r="56" spans="1:20" s="60" customFormat="1" x14ac:dyDescent="0.3">
      <c r="A56" s="45">
        <f>IF(F56&lt;&gt;"",1+MAX($A$5:A55),"")</f>
        <v>29</v>
      </c>
      <c r="B56" s="91"/>
      <c r="C56" s="38" t="s">
        <v>385</v>
      </c>
      <c r="D56" s="55">
        <v>10</v>
      </c>
      <c r="E56" s="56">
        <v>0</v>
      </c>
      <c r="F56" s="57">
        <f t="shared" ref="F56:F68" si="43">(1+E56)*D56</f>
        <v>10</v>
      </c>
      <c r="G56" s="58" t="s">
        <v>3</v>
      </c>
      <c r="H56" s="35">
        <v>0.99440109999999993</v>
      </c>
      <c r="I56" s="35">
        <f t="shared" ref="I56" si="44">H56*F56</f>
        <v>9.9440109999999997</v>
      </c>
      <c r="J56" s="43">
        <v>5.3203999999999994E-3</v>
      </c>
      <c r="K56" s="24">
        <f>$N$54</f>
        <v>40</v>
      </c>
      <c r="L56" s="44">
        <f t="shared" ref="L56" si="45">J56*F56</f>
        <v>5.3203999999999994E-2</v>
      </c>
      <c r="M56" s="27">
        <f t="shared" ref="M56" si="46">L56*K56</f>
        <v>2.1281599999999998</v>
      </c>
      <c r="N56" s="27">
        <f t="shared" ref="N56" si="47">M56+I56</f>
        <v>12.072170999999999</v>
      </c>
      <c r="O56" s="76"/>
      <c r="P56" s="59"/>
      <c r="Q56" s="59"/>
      <c r="T56" s="61"/>
    </row>
    <row r="57" spans="1:20" s="60" customFormat="1" x14ac:dyDescent="0.3">
      <c r="A57" s="45">
        <f>IF(F57&lt;&gt;"",1+MAX($A$5:A56),"")</f>
        <v>30</v>
      </c>
      <c r="B57" s="91"/>
      <c r="C57" s="38" t="s">
        <v>384</v>
      </c>
      <c r="D57" s="55">
        <v>5</v>
      </c>
      <c r="E57" s="56">
        <v>0</v>
      </c>
      <c r="F57" s="57">
        <f t="shared" si="43"/>
        <v>5</v>
      </c>
      <c r="G57" s="58" t="s">
        <v>3</v>
      </c>
      <c r="H57" s="35">
        <v>2.3218551999999999</v>
      </c>
      <c r="I57" s="35">
        <f t="shared" ref="I57:I68" si="48">H57*F57</f>
        <v>11.609275999999999</v>
      </c>
      <c r="J57" s="43">
        <v>1.8800000000000001E-2</v>
      </c>
      <c r="K57" s="24">
        <f t="shared" ref="K57:K68" si="49">$N$54</f>
        <v>40</v>
      </c>
      <c r="L57" s="44">
        <f t="shared" ref="L57:L68" si="50">J57*F57</f>
        <v>9.4E-2</v>
      </c>
      <c r="M57" s="27">
        <f t="shared" ref="M57:M68" si="51">L57*K57</f>
        <v>3.76</v>
      </c>
      <c r="N57" s="27">
        <f t="shared" ref="N57:N68" si="52">M57+I57</f>
        <v>15.369275999999999</v>
      </c>
      <c r="O57" s="76"/>
      <c r="P57" s="59"/>
      <c r="Q57" s="59"/>
      <c r="T57" s="61"/>
    </row>
    <row r="58" spans="1:20" s="60" customFormat="1" x14ac:dyDescent="0.3">
      <c r="A58" s="45">
        <f>IF(F58&lt;&gt;"",1+MAX($A$5:A57),"")</f>
        <v>31</v>
      </c>
      <c r="B58" s="91"/>
      <c r="C58" s="38" t="s">
        <v>383</v>
      </c>
      <c r="D58" s="55">
        <v>5</v>
      </c>
      <c r="E58" s="56">
        <v>0</v>
      </c>
      <c r="F58" s="57">
        <f t="shared" si="43"/>
        <v>5</v>
      </c>
      <c r="G58" s="58" t="s">
        <v>3</v>
      </c>
      <c r="H58" s="35">
        <v>1.7984861999999999</v>
      </c>
      <c r="I58" s="35">
        <f t="shared" si="48"/>
        <v>8.9924309999999998</v>
      </c>
      <c r="J58" s="43">
        <v>3.1960000000000002E-2</v>
      </c>
      <c r="K58" s="24">
        <f t="shared" si="49"/>
        <v>40</v>
      </c>
      <c r="L58" s="44">
        <f t="shared" si="50"/>
        <v>0.1598</v>
      </c>
      <c r="M58" s="27">
        <f t="shared" si="51"/>
        <v>6.3919999999999995</v>
      </c>
      <c r="N58" s="27">
        <f t="shared" si="52"/>
        <v>15.384430999999999</v>
      </c>
      <c r="O58" s="76"/>
      <c r="P58" s="59"/>
      <c r="Q58" s="59"/>
      <c r="T58" s="61"/>
    </row>
    <row r="59" spans="1:20" s="60" customFormat="1" x14ac:dyDescent="0.3">
      <c r="A59" s="45">
        <f>IF(F59&lt;&gt;"",1+MAX($A$5:A58),"")</f>
        <v>32</v>
      </c>
      <c r="B59" s="91"/>
      <c r="C59" s="38" t="s">
        <v>382</v>
      </c>
      <c r="D59" s="55">
        <f>10+ROUNDUP(9.11/2,0)+3*ROUNDUP(95.48/0.5,0)+2*ROUNDUP(26.51/0.5,0)+ROUNDUP(94.22/0.33,0)</f>
        <v>982</v>
      </c>
      <c r="E59" s="56">
        <v>0</v>
      </c>
      <c r="F59" s="57">
        <f t="shared" si="43"/>
        <v>982</v>
      </c>
      <c r="G59" s="58" t="s">
        <v>3</v>
      </c>
      <c r="H59" s="35">
        <v>0.30736034000000001</v>
      </c>
      <c r="I59" s="35">
        <f t="shared" si="48"/>
        <v>301.82785388000002</v>
      </c>
      <c r="J59" s="43">
        <v>4.2299999999999994E-3</v>
      </c>
      <c r="K59" s="24">
        <f t="shared" si="49"/>
        <v>40</v>
      </c>
      <c r="L59" s="44">
        <f t="shared" si="50"/>
        <v>4.153859999999999</v>
      </c>
      <c r="M59" s="27">
        <f t="shared" si="51"/>
        <v>166.15439999999995</v>
      </c>
      <c r="N59" s="27">
        <f t="shared" si="52"/>
        <v>467.98225387999997</v>
      </c>
      <c r="O59" s="76"/>
      <c r="P59" s="59"/>
      <c r="Q59" s="59"/>
      <c r="T59" s="61"/>
    </row>
    <row r="60" spans="1:20" s="60" customFormat="1" x14ac:dyDescent="0.3">
      <c r="A60" s="45">
        <f>IF(F60&lt;&gt;"",1+MAX($A$5:A59),"")</f>
        <v>33</v>
      </c>
      <c r="B60" s="91"/>
      <c r="C60" s="38" t="s">
        <v>381</v>
      </c>
      <c r="D60" s="55">
        <v>4</v>
      </c>
      <c r="E60" s="56">
        <v>0</v>
      </c>
      <c r="F60" s="57">
        <f t="shared" si="43"/>
        <v>4</v>
      </c>
      <c r="G60" s="58" t="s">
        <v>3</v>
      </c>
      <c r="H60" s="35">
        <v>23.361288999999999</v>
      </c>
      <c r="I60" s="35">
        <f t="shared" si="48"/>
        <v>93.445155999999997</v>
      </c>
      <c r="J60" s="43">
        <v>0.376</v>
      </c>
      <c r="K60" s="24">
        <f t="shared" si="49"/>
        <v>40</v>
      </c>
      <c r="L60" s="44">
        <f t="shared" si="50"/>
        <v>1.504</v>
      </c>
      <c r="M60" s="27">
        <f t="shared" si="51"/>
        <v>60.16</v>
      </c>
      <c r="N60" s="27">
        <f t="shared" si="52"/>
        <v>153.60515599999999</v>
      </c>
      <c r="O60" s="76"/>
      <c r="P60" s="59"/>
      <c r="Q60" s="59"/>
      <c r="T60" s="61"/>
    </row>
    <row r="61" spans="1:20" s="60" customFormat="1" x14ac:dyDescent="0.3">
      <c r="A61" s="45">
        <f>IF(F61&lt;&gt;"",1+MAX($A$5:A60),"")</f>
        <v>34</v>
      </c>
      <c r="B61" s="91"/>
      <c r="C61" s="38" t="s">
        <v>380</v>
      </c>
      <c r="D61" s="55">
        <v>8</v>
      </c>
      <c r="E61" s="56">
        <v>0</v>
      </c>
      <c r="F61" s="57">
        <f t="shared" si="43"/>
        <v>8</v>
      </c>
      <c r="G61" s="58" t="s">
        <v>3</v>
      </c>
      <c r="H61" s="35">
        <v>32.829509999999999</v>
      </c>
      <c r="I61" s="35">
        <f t="shared" si="48"/>
        <v>262.63607999999999</v>
      </c>
      <c r="J61" s="43">
        <v>0.33322999999999997</v>
      </c>
      <c r="K61" s="24">
        <f t="shared" si="49"/>
        <v>40</v>
      </c>
      <c r="L61" s="44">
        <f t="shared" si="50"/>
        <v>2.6658399999999998</v>
      </c>
      <c r="M61" s="27">
        <f t="shared" si="51"/>
        <v>106.63359999999999</v>
      </c>
      <c r="N61" s="27">
        <f t="shared" si="52"/>
        <v>369.26967999999999</v>
      </c>
      <c r="O61" s="76"/>
      <c r="P61" s="59"/>
      <c r="Q61" s="59"/>
      <c r="T61" s="61"/>
    </row>
    <row r="62" spans="1:20" s="60" customFormat="1" x14ac:dyDescent="0.3">
      <c r="A62" s="45">
        <f>IF(F62&lt;&gt;"",1+MAX($A$5:A61),"")</f>
        <v>35</v>
      </c>
      <c r="B62" s="91"/>
      <c r="C62" s="38" t="s">
        <v>379</v>
      </c>
      <c r="D62" s="55">
        <v>181</v>
      </c>
      <c r="E62" s="56">
        <v>0</v>
      </c>
      <c r="F62" s="57">
        <f t="shared" si="43"/>
        <v>181</v>
      </c>
      <c r="G62" s="58" t="s">
        <v>3</v>
      </c>
      <c r="H62" s="35">
        <v>2.1315392000000002</v>
      </c>
      <c r="I62" s="35">
        <f t="shared" si="48"/>
        <v>385.80859520000001</v>
      </c>
      <c r="J62" s="43">
        <v>4.7E-2</v>
      </c>
      <c r="K62" s="24">
        <f t="shared" si="49"/>
        <v>40</v>
      </c>
      <c r="L62" s="44">
        <f t="shared" si="50"/>
        <v>8.5069999999999997</v>
      </c>
      <c r="M62" s="27">
        <f t="shared" si="51"/>
        <v>340.28</v>
      </c>
      <c r="N62" s="27">
        <f t="shared" si="52"/>
        <v>726.08859519999999</v>
      </c>
      <c r="O62" s="76"/>
      <c r="P62" s="59"/>
      <c r="Q62" s="59"/>
      <c r="T62" s="61"/>
    </row>
    <row r="63" spans="1:20" s="60" customFormat="1" x14ac:dyDescent="0.3">
      <c r="A63" s="45">
        <f>IF(F63&lt;&gt;"",1+MAX($A$5:A62),"")</f>
        <v>36</v>
      </c>
      <c r="B63" s="91"/>
      <c r="C63" s="38" t="s">
        <v>378</v>
      </c>
      <c r="D63" s="55">
        <v>20</v>
      </c>
      <c r="E63" s="56">
        <v>0</v>
      </c>
      <c r="F63" s="57">
        <f t="shared" si="43"/>
        <v>20</v>
      </c>
      <c r="G63" s="58" t="s">
        <v>3</v>
      </c>
      <c r="H63" s="35">
        <v>4.5295207999999993</v>
      </c>
      <c r="I63" s="35">
        <f t="shared" si="48"/>
        <v>90.590415999999991</v>
      </c>
      <c r="J63" s="43">
        <v>5.6399999999999992E-2</v>
      </c>
      <c r="K63" s="24">
        <f t="shared" si="49"/>
        <v>40</v>
      </c>
      <c r="L63" s="44">
        <f t="shared" si="50"/>
        <v>1.1279999999999999</v>
      </c>
      <c r="M63" s="27">
        <f t="shared" si="51"/>
        <v>45.12</v>
      </c>
      <c r="N63" s="27">
        <f t="shared" si="52"/>
        <v>135.71041599999998</v>
      </c>
      <c r="O63" s="76"/>
      <c r="P63" s="59"/>
      <c r="Q63" s="59"/>
      <c r="T63" s="61"/>
    </row>
    <row r="64" spans="1:20" s="60" customFormat="1" x14ac:dyDescent="0.3">
      <c r="A64" s="45">
        <f>IF(F64&lt;&gt;"",1+MAX($A$5:A63),"")</f>
        <v>37</v>
      </c>
      <c r="B64" s="91"/>
      <c r="C64" s="38" t="s">
        <v>377</v>
      </c>
      <c r="D64" s="55">
        <v>15</v>
      </c>
      <c r="E64" s="56">
        <v>0</v>
      </c>
      <c r="F64" s="57">
        <f t="shared" si="43"/>
        <v>15</v>
      </c>
      <c r="G64" s="58" t="s">
        <v>3</v>
      </c>
      <c r="H64" s="35">
        <v>13.79791</v>
      </c>
      <c r="I64" s="35">
        <f t="shared" si="48"/>
        <v>206.96865</v>
      </c>
      <c r="J64" s="43">
        <v>0.3196</v>
      </c>
      <c r="K64" s="24">
        <f t="shared" si="49"/>
        <v>40</v>
      </c>
      <c r="L64" s="44">
        <f t="shared" si="50"/>
        <v>4.7939999999999996</v>
      </c>
      <c r="M64" s="27">
        <f t="shared" si="51"/>
        <v>191.76</v>
      </c>
      <c r="N64" s="27">
        <f t="shared" si="52"/>
        <v>398.72865000000002</v>
      </c>
      <c r="O64" s="76"/>
      <c r="P64" s="59"/>
      <c r="Q64" s="59"/>
      <c r="T64" s="61"/>
    </row>
    <row r="65" spans="1:20" s="60" customFormat="1" x14ac:dyDescent="0.3">
      <c r="A65" s="45">
        <f>IF(F65&lt;&gt;"",1+MAX($A$5:A64),"")</f>
        <v>38</v>
      </c>
      <c r="B65" s="91"/>
      <c r="C65" s="38" t="s">
        <v>376</v>
      </c>
      <c r="D65" s="55">
        <v>2</v>
      </c>
      <c r="E65" s="56">
        <v>0</v>
      </c>
      <c r="F65" s="57">
        <f t="shared" si="43"/>
        <v>2</v>
      </c>
      <c r="G65" s="58" t="s">
        <v>3</v>
      </c>
      <c r="H65" s="35">
        <v>17.014250400000002</v>
      </c>
      <c r="I65" s="35">
        <f t="shared" si="48"/>
        <v>34.028500800000003</v>
      </c>
      <c r="J65" s="43">
        <v>0.3196</v>
      </c>
      <c r="K65" s="24">
        <f t="shared" si="49"/>
        <v>40</v>
      </c>
      <c r="L65" s="44">
        <f t="shared" si="50"/>
        <v>0.63919999999999999</v>
      </c>
      <c r="M65" s="27">
        <f t="shared" si="51"/>
        <v>25.567999999999998</v>
      </c>
      <c r="N65" s="27">
        <f t="shared" si="52"/>
        <v>59.596500800000001</v>
      </c>
      <c r="O65" s="76"/>
      <c r="P65" s="59"/>
      <c r="Q65" s="59"/>
      <c r="T65" s="61"/>
    </row>
    <row r="66" spans="1:20" s="60" customFormat="1" x14ac:dyDescent="0.3">
      <c r="A66" s="45">
        <f>IF(F66&lt;&gt;"",1+MAX($A$5:A65),"")</f>
        <v>39</v>
      </c>
      <c r="B66" s="91"/>
      <c r="C66" s="38" t="s">
        <v>375</v>
      </c>
      <c r="D66" s="55">
        <f>ROUNDUP(14.3/2,0)</f>
        <v>8</v>
      </c>
      <c r="E66" s="56">
        <v>0</v>
      </c>
      <c r="F66" s="57">
        <f t="shared" si="43"/>
        <v>8</v>
      </c>
      <c r="G66" s="58" t="s">
        <v>3</v>
      </c>
      <c r="H66" s="35">
        <v>22.305035199999999</v>
      </c>
      <c r="I66" s="35">
        <f t="shared" si="48"/>
        <v>178.44028159999999</v>
      </c>
      <c r="J66" s="43">
        <v>0.42299999999999999</v>
      </c>
      <c r="K66" s="24">
        <f t="shared" si="49"/>
        <v>40</v>
      </c>
      <c r="L66" s="44">
        <f t="shared" si="50"/>
        <v>3.3839999999999999</v>
      </c>
      <c r="M66" s="27">
        <f t="shared" si="51"/>
        <v>135.35999999999999</v>
      </c>
      <c r="N66" s="27">
        <f t="shared" si="52"/>
        <v>313.80028159999995</v>
      </c>
      <c r="O66" s="76"/>
      <c r="P66" s="59"/>
      <c r="Q66" s="59"/>
      <c r="T66" s="61"/>
    </row>
    <row r="67" spans="1:20" s="60" customFormat="1" x14ac:dyDescent="0.3">
      <c r="A67" s="45">
        <f>IF(F67&lt;&gt;"",1+MAX($A$5:A66),"")</f>
        <v>40</v>
      </c>
      <c r="B67" s="91"/>
      <c r="C67" s="38" t="s">
        <v>374</v>
      </c>
      <c r="D67" s="55">
        <f>ROUNDUP((9.5+2*16.59+98.48)/0.5,0)+2*ROUNDUP(9.11/0.5,0)+ROUNDUP(26.51/0.5,0)</f>
        <v>375</v>
      </c>
      <c r="E67" s="56">
        <v>0</v>
      </c>
      <c r="F67" s="57">
        <f t="shared" si="43"/>
        <v>375</v>
      </c>
      <c r="G67" s="58" t="s">
        <v>3</v>
      </c>
      <c r="H67" s="35">
        <v>0.32353719999999997</v>
      </c>
      <c r="I67" s="35">
        <f t="shared" si="48"/>
        <v>121.32644999999999</v>
      </c>
      <c r="J67" s="43">
        <v>3.7599999999999999E-3</v>
      </c>
      <c r="K67" s="24">
        <f t="shared" si="49"/>
        <v>40</v>
      </c>
      <c r="L67" s="44">
        <f t="shared" si="50"/>
        <v>1.41</v>
      </c>
      <c r="M67" s="27">
        <f t="shared" si="51"/>
        <v>56.4</v>
      </c>
      <c r="N67" s="27">
        <f t="shared" si="52"/>
        <v>177.72645</v>
      </c>
      <c r="O67" s="76"/>
      <c r="P67" s="59"/>
      <c r="Q67" s="59"/>
      <c r="T67" s="61"/>
    </row>
    <row r="68" spans="1:20" s="60" customFormat="1" x14ac:dyDescent="0.3">
      <c r="A68" s="45">
        <f>IF(F68&lt;&gt;"",1+MAX($A$5:A67),"")</f>
        <v>41</v>
      </c>
      <c r="B68" s="91"/>
      <c r="C68" s="38" t="s">
        <v>373</v>
      </c>
      <c r="D68" s="55">
        <f>2*ROUNDUP(123.59/2,0)</f>
        <v>124</v>
      </c>
      <c r="E68" s="56">
        <v>0</v>
      </c>
      <c r="F68" s="57">
        <f t="shared" si="43"/>
        <v>124</v>
      </c>
      <c r="G68" s="58" t="s">
        <v>3</v>
      </c>
      <c r="H68" s="35">
        <v>3.2353719999999995</v>
      </c>
      <c r="I68" s="35">
        <f t="shared" si="48"/>
        <v>401.18612799999994</v>
      </c>
      <c r="J68" s="43">
        <v>3.7600000000000001E-2</v>
      </c>
      <c r="K68" s="24">
        <f t="shared" si="49"/>
        <v>40</v>
      </c>
      <c r="L68" s="44">
        <f t="shared" si="50"/>
        <v>4.6623999999999999</v>
      </c>
      <c r="M68" s="27">
        <f t="shared" si="51"/>
        <v>186.49599999999998</v>
      </c>
      <c r="N68" s="27">
        <f t="shared" si="52"/>
        <v>587.68212799999992</v>
      </c>
      <c r="O68" s="76"/>
      <c r="P68" s="59"/>
      <c r="Q68" s="59"/>
      <c r="T68" s="61"/>
    </row>
    <row r="69" spans="1:20" s="60" customFormat="1" x14ac:dyDescent="0.3">
      <c r="A69" s="45" t="str">
        <f>IF(F69&lt;&gt;"",1+MAX($A$5:A68),"")</f>
        <v/>
      </c>
      <c r="B69" s="91"/>
      <c r="C69" s="38"/>
      <c r="D69" s="55"/>
      <c r="E69" s="56"/>
      <c r="F69" s="57"/>
      <c r="G69" s="58"/>
      <c r="H69" s="35"/>
      <c r="I69" s="35"/>
      <c r="J69" s="43"/>
      <c r="K69" s="24"/>
      <c r="L69" s="44"/>
      <c r="M69" s="27"/>
      <c r="N69" s="27"/>
      <c r="O69" s="76"/>
      <c r="P69" s="59"/>
      <c r="Q69" s="59"/>
      <c r="T69" s="61"/>
    </row>
    <row r="70" spans="1:20" s="3" customFormat="1" x14ac:dyDescent="0.25">
      <c r="A70" s="31"/>
      <c r="B70" s="62"/>
      <c r="C70" s="17" t="s">
        <v>23</v>
      </c>
      <c r="D70" s="25"/>
      <c r="E70" s="8"/>
      <c r="F70" s="28"/>
      <c r="G70" s="8"/>
      <c r="H70" s="8"/>
      <c r="I70" s="8"/>
      <c r="J70" s="8"/>
      <c r="K70" s="8"/>
      <c r="L70" s="8"/>
      <c r="M70" s="22"/>
      <c r="N70" s="8"/>
      <c r="O70" s="9">
        <f>SUM(N72:N107)</f>
        <v>103415.33777870468</v>
      </c>
      <c r="P70" s="59"/>
      <c r="Q70" s="2"/>
      <c r="T70" s="16"/>
    </row>
    <row r="71" spans="1:20" s="3" customFormat="1" x14ac:dyDescent="0.25">
      <c r="A71" s="45" t="str">
        <f>IF(F71&lt;&gt;"",1+MAX($A$5:A70),"")</f>
        <v/>
      </c>
      <c r="B71" s="84"/>
      <c r="C71" s="18"/>
      <c r="D71" s="19"/>
      <c r="E71" s="20"/>
      <c r="F71" s="29"/>
      <c r="G71" s="21"/>
      <c r="H71" s="21"/>
      <c r="I71" s="21"/>
      <c r="J71" s="21"/>
      <c r="K71" s="21"/>
      <c r="L71" s="21"/>
      <c r="M71" s="40" t="s">
        <v>21</v>
      </c>
      <c r="N71" s="41">
        <v>38</v>
      </c>
      <c r="O71" s="76"/>
      <c r="P71" s="59"/>
      <c r="Q71" s="2"/>
      <c r="T71" s="16"/>
    </row>
    <row r="72" spans="1:20" s="60" customFormat="1" x14ac:dyDescent="0.3">
      <c r="A72" s="45" t="str">
        <f>IF(F72&lt;&gt;"",1+MAX($A$5:A71),"")</f>
        <v/>
      </c>
      <c r="B72" s="91"/>
      <c r="C72" s="86" t="s">
        <v>140</v>
      </c>
      <c r="D72" s="55"/>
      <c r="E72" s="56"/>
      <c r="F72" s="57"/>
      <c r="G72" s="58"/>
      <c r="H72" s="35"/>
      <c r="I72" s="35"/>
      <c r="J72" s="43"/>
      <c r="K72" s="24"/>
      <c r="L72" s="44"/>
      <c r="M72" s="27"/>
      <c r="N72" s="27"/>
      <c r="O72" s="76"/>
      <c r="P72" s="59"/>
      <c r="Q72" s="59"/>
      <c r="T72" s="61"/>
    </row>
    <row r="73" spans="1:20" s="60" customFormat="1" x14ac:dyDescent="0.3">
      <c r="A73" s="45">
        <f>IF(F73&lt;&gt;"",1+MAX($A$5:A72),"")</f>
        <v>42</v>
      </c>
      <c r="B73" s="91"/>
      <c r="C73" s="38" t="s">
        <v>410</v>
      </c>
      <c r="D73" s="55">
        <v>123.59</v>
      </c>
      <c r="E73" s="56">
        <v>0.1</v>
      </c>
      <c r="F73" s="57">
        <f t="shared" ref="F73:F78" si="53">(1+E73)*D73</f>
        <v>135.94900000000001</v>
      </c>
      <c r="G73" s="58" t="s">
        <v>4</v>
      </c>
      <c r="H73" s="35">
        <v>3.6883240800000001</v>
      </c>
      <c r="I73" s="35">
        <f t="shared" ref="I73" si="54">H73*F73</f>
        <v>501.42397035192005</v>
      </c>
      <c r="J73" s="43">
        <v>3.1960000000000002E-2</v>
      </c>
      <c r="K73" s="24">
        <f t="shared" ref="K73:K78" si="55">$N$71</f>
        <v>38</v>
      </c>
      <c r="L73" s="44">
        <f t="shared" ref="L73" si="56">J73*F73</f>
        <v>4.3449300400000004</v>
      </c>
      <c r="M73" s="27">
        <f t="shared" ref="M73" si="57">L73*K73</f>
        <v>165.10734152000001</v>
      </c>
      <c r="N73" s="27">
        <f t="shared" ref="N73" si="58">M73+I73</f>
        <v>666.53131187192002</v>
      </c>
      <c r="O73" s="76"/>
      <c r="P73" s="59"/>
      <c r="Q73" s="59"/>
      <c r="T73" s="61"/>
    </row>
    <row r="74" spans="1:20" s="60" customFormat="1" x14ac:dyDescent="0.3">
      <c r="A74" s="45">
        <f>IF(F74&lt;&gt;"",1+MAX($A$5:A73),"")</f>
        <v>43</v>
      </c>
      <c r="B74" s="91"/>
      <c r="C74" s="38" t="s">
        <v>409</v>
      </c>
      <c r="D74" s="55">
        <v>14.31</v>
      </c>
      <c r="E74" s="56">
        <v>0.1</v>
      </c>
      <c r="F74" s="57">
        <f t="shared" si="53"/>
        <v>15.741000000000001</v>
      </c>
      <c r="G74" s="58" t="s">
        <v>4</v>
      </c>
      <c r="H74" s="35">
        <v>4.167920399999999</v>
      </c>
      <c r="I74" s="35">
        <f t="shared" ref="I74:I78" si="59">H74*F74</f>
        <v>65.607235016399983</v>
      </c>
      <c r="J74" s="43">
        <v>3.7600000000000001E-2</v>
      </c>
      <c r="K74" s="24">
        <f t="shared" si="55"/>
        <v>38</v>
      </c>
      <c r="L74" s="44">
        <f t="shared" ref="L74:L78" si="60">J74*F74</f>
        <v>0.5918616000000001</v>
      </c>
      <c r="M74" s="27">
        <f t="shared" ref="M74:M78" si="61">L74*K74</f>
        <v>22.490740800000005</v>
      </c>
      <c r="N74" s="27">
        <f t="shared" ref="N74:N78" si="62">M74+I74</f>
        <v>88.09797581639998</v>
      </c>
      <c r="O74" s="76"/>
      <c r="P74" s="59"/>
      <c r="Q74" s="59"/>
      <c r="T74" s="61"/>
    </row>
    <row r="75" spans="1:20" s="60" customFormat="1" x14ac:dyDescent="0.3">
      <c r="A75" s="45">
        <f>IF(F75&lt;&gt;"",1+MAX($A$5:A74),"")</f>
        <v>44</v>
      </c>
      <c r="B75" s="91"/>
      <c r="C75" s="38" t="s">
        <v>408</v>
      </c>
      <c r="D75" s="55">
        <f>9.54+2*16.59+9.11+98.48</f>
        <v>150.31</v>
      </c>
      <c r="E75" s="56">
        <v>0.1</v>
      </c>
      <c r="F75" s="57">
        <f t="shared" si="53"/>
        <v>165.34100000000001</v>
      </c>
      <c r="G75" s="58" t="s">
        <v>4</v>
      </c>
      <c r="H75" s="35">
        <v>4.167920399999999</v>
      </c>
      <c r="I75" s="35">
        <f t="shared" si="59"/>
        <v>689.12812685639983</v>
      </c>
      <c r="J75" s="43">
        <v>3.7600000000000001E-2</v>
      </c>
      <c r="K75" s="24">
        <f t="shared" si="55"/>
        <v>38</v>
      </c>
      <c r="L75" s="44">
        <f t="shared" si="60"/>
        <v>6.2168216000000003</v>
      </c>
      <c r="M75" s="27">
        <f t="shared" si="61"/>
        <v>236.2392208</v>
      </c>
      <c r="N75" s="27">
        <f t="shared" si="62"/>
        <v>925.36734765639983</v>
      </c>
      <c r="O75" s="76"/>
      <c r="P75" s="59"/>
      <c r="Q75" s="59"/>
      <c r="T75" s="61"/>
    </row>
    <row r="76" spans="1:20" s="60" customFormat="1" x14ac:dyDescent="0.3">
      <c r="A76" s="45">
        <f>IF(F76&lt;&gt;"",1+MAX($A$5:A75),"")</f>
        <v>45</v>
      </c>
      <c r="B76" s="91"/>
      <c r="C76" s="38" t="s">
        <v>407</v>
      </c>
      <c r="D76" s="55">
        <f>ROUNDUP(123.59/4,0)*3</f>
        <v>93</v>
      </c>
      <c r="E76" s="56">
        <v>0.1</v>
      </c>
      <c r="F76" s="57">
        <f t="shared" si="53"/>
        <v>102.30000000000001</v>
      </c>
      <c r="G76" s="58" t="s">
        <v>4</v>
      </c>
      <c r="H76" s="35">
        <v>3.6883240800000001</v>
      </c>
      <c r="I76" s="35">
        <f t="shared" si="59"/>
        <v>377.31555338400005</v>
      </c>
      <c r="J76" s="43">
        <v>3.1960000000000002E-2</v>
      </c>
      <c r="K76" s="24">
        <f t="shared" si="55"/>
        <v>38</v>
      </c>
      <c r="L76" s="44">
        <f t="shared" si="60"/>
        <v>3.2695080000000005</v>
      </c>
      <c r="M76" s="27">
        <f t="shared" si="61"/>
        <v>124.24130400000001</v>
      </c>
      <c r="N76" s="27">
        <f t="shared" si="62"/>
        <v>501.55685738400007</v>
      </c>
      <c r="O76" s="76"/>
      <c r="P76" s="59"/>
      <c r="Q76" s="59"/>
      <c r="T76" s="61"/>
    </row>
    <row r="77" spans="1:20" s="60" customFormat="1" x14ac:dyDescent="0.3">
      <c r="A77" s="45">
        <f>IF(F77&lt;&gt;"",1+MAX($A$5:A76),"")</f>
        <v>46</v>
      </c>
      <c r="B77" s="91"/>
      <c r="C77" s="38" t="s">
        <v>406</v>
      </c>
      <c r="D77" s="55">
        <f>ROUNDUP(123.59/2,0)*6</f>
        <v>372</v>
      </c>
      <c r="E77" s="56">
        <v>0.1</v>
      </c>
      <c r="F77" s="57">
        <f t="shared" si="53"/>
        <v>409.20000000000005</v>
      </c>
      <c r="G77" s="58" t="s">
        <v>4</v>
      </c>
      <c r="H77" s="35">
        <v>3.6883240800000001</v>
      </c>
      <c r="I77" s="35">
        <f t="shared" si="59"/>
        <v>1509.2622135360002</v>
      </c>
      <c r="J77" s="43">
        <v>3.1960000000000002E-2</v>
      </c>
      <c r="K77" s="24">
        <f t="shared" si="55"/>
        <v>38</v>
      </c>
      <c r="L77" s="44">
        <f t="shared" si="60"/>
        <v>13.078032000000002</v>
      </c>
      <c r="M77" s="27">
        <f t="shared" si="61"/>
        <v>496.96521600000005</v>
      </c>
      <c r="N77" s="27">
        <f t="shared" si="62"/>
        <v>2006.2274295360003</v>
      </c>
      <c r="O77" s="76"/>
      <c r="P77" s="59"/>
      <c r="Q77" s="59"/>
      <c r="T77" s="61"/>
    </row>
    <row r="78" spans="1:20" s="60" customFormat="1" x14ac:dyDescent="0.3">
      <c r="A78" s="45">
        <f>IF(F78&lt;&gt;"",1+MAX($A$5:A77),"")</f>
        <v>47</v>
      </c>
      <c r="B78" s="91"/>
      <c r="C78" s="38" t="s">
        <v>405</v>
      </c>
      <c r="D78" s="55">
        <f>26.51+94.22</f>
        <v>120.73</v>
      </c>
      <c r="E78" s="56">
        <v>0.1</v>
      </c>
      <c r="F78" s="57">
        <f t="shared" si="53"/>
        <v>132.80300000000003</v>
      </c>
      <c r="G78" s="58" t="s">
        <v>4</v>
      </c>
      <c r="H78" s="35">
        <v>4.167920399999999</v>
      </c>
      <c r="I78" s="35">
        <f t="shared" si="59"/>
        <v>553.5123328812</v>
      </c>
      <c r="J78" s="43">
        <v>3.7600000000000001E-2</v>
      </c>
      <c r="K78" s="24">
        <f t="shared" si="55"/>
        <v>38</v>
      </c>
      <c r="L78" s="44">
        <f t="shared" si="60"/>
        <v>4.9933928000000014</v>
      </c>
      <c r="M78" s="27">
        <f t="shared" si="61"/>
        <v>189.74892640000004</v>
      </c>
      <c r="N78" s="27">
        <f t="shared" si="62"/>
        <v>743.26125928120007</v>
      </c>
      <c r="O78" s="76"/>
      <c r="P78" s="59"/>
      <c r="Q78" s="59"/>
      <c r="T78" s="61"/>
    </row>
    <row r="79" spans="1:20" s="60" customFormat="1" x14ac:dyDescent="0.3">
      <c r="A79" s="45" t="str">
        <f>IF(F79&lt;&gt;"",1+MAX($A$5:A78),"")</f>
        <v/>
      </c>
      <c r="B79" s="91"/>
      <c r="C79" s="38"/>
      <c r="D79" s="55"/>
      <c r="E79" s="56"/>
      <c r="F79" s="57"/>
      <c r="G79" s="58"/>
      <c r="H79" s="35"/>
      <c r="I79" s="35"/>
      <c r="J79" s="43"/>
      <c r="K79" s="24"/>
      <c r="L79" s="44"/>
      <c r="M79" s="27"/>
      <c r="N79" s="27"/>
      <c r="O79" s="76"/>
      <c r="P79" s="59"/>
      <c r="Q79" s="59"/>
      <c r="T79" s="61"/>
    </row>
    <row r="80" spans="1:20" s="60" customFormat="1" x14ac:dyDescent="0.3">
      <c r="A80" s="45" t="str">
        <f>IF(F80&lt;&gt;"",1+MAX($A$5:A79),"")</f>
        <v/>
      </c>
      <c r="B80" s="91"/>
      <c r="C80" s="86" t="s">
        <v>404</v>
      </c>
      <c r="D80" s="55"/>
      <c r="E80" s="56"/>
      <c r="F80" s="57"/>
      <c r="G80" s="58"/>
      <c r="H80" s="35"/>
      <c r="I80" s="35"/>
      <c r="J80" s="43"/>
      <c r="K80" s="24"/>
      <c r="L80" s="44"/>
      <c r="M80" s="27"/>
      <c r="N80" s="27"/>
      <c r="O80" s="76"/>
      <c r="P80" s="59"/>
      <c r="Q80" s="59"/>
      <c r="T80" s="61"/>
    </row>
    <row r="81" spans="1:20" s="60" customFormat="1" x14ac:dyDescent="0.3">
      <c r="A81" s="45">
        <f>IF(F81&lt;&gt;"",1+MAX($A$5:A80),"")</f>
        <v>48</v>
      </c>
      <c r="B81" s="91"/>
      <c r="C81" s="38" t="s">
        <v>403</v>
      </c>
      <c r="D81" s="55">
        <v>16.05</v>
      </c>
      <c r="E81" s="56">
        <v>0.1</v>
      </c>
      <c r="F81" s="57">
        <f t="shared" ref="F81:F86" si="63">(1+E81)*D81</f>
        <v>17.655000000000001</v>
      </c>
      <c r="G81" s="58" t="s">
        <v>4</v>
      </c>
      <c r="H81" s="35">
        <v>25.578470399999997</v>
      </c>
      <c r="I81" s="35">
        <f t="shared" ref="I81:I86" si="64">H81*F81</f>
        <v>451.58789491199997</v>
      </c>
      <c r="J81" s="43">
        <v>0.1222</v>
      </c>
      <c r="K81" s="24">
        <f t="shared" ref="K81:K86" si="65">$N$71</f>
        <v>38</v>
      </c>
      <c r="L81" s="44">
        <f t="shared" ref="L81:L86" si="66">J81*F81</f>
        <v>2.1574410000000004</v>
      </c>
      <c r="M81" s="27">
        <f t="shared" ref="M81:M86" si="67">L81*K81</f>
        <v>81.982758000000018</v>
      </c>
      <c r="N81" s="27">
        <f t="shared" ref="N81:N86" si="68">M81+I81</f>
        <v>533.57065291200001</v>
      </c>
      <c r="O81" s="76"/>
      <c r="P81" s="59"/>
      <c r="Q81" s="59"/>
      <c r="T81" s="61"/>
    </row>
    <row r="82" spans="1:20" s="60" customFormat="1" x14ac:dyDescent="0.3">
      <c r="A82" s="45">
        <f>IF(F82&lt;&gt;"",1+MAX($A$5:A81),"")</f>
        <v>49</v>
      </c>
      <c r="B82" s="91"/>
      <c r="C82" s="38" t="s">
        <v>402</v>
      </c>
      <c r="D82" s="55">
        <v>40.270000000000003</v>
      </c>
      <c r="E82" s="56">
        <v>0.1</v>
      </c>
      <c r="F82" s="57">
        <f t="shared" si="63"/>
        <v>44.297000000000004</v>
      </c>
      <c r="G82" s="58" t="s">
        <v>4</v>
      </c>
      <c r="H82" s="35">
        <v>36.883240799999996</v>
      </c>
      <c r="I82" s="35">
        <f t="shared" si="64"/>
        <v>1633.8169177176001</v>
      </c>
      <c r="J82" s="43">
        <v>0.188</v>
      </c>
      <c r="K82" s="24">
        <f t="shared" si="65"/>
        <v>38</v>
      </c>
      <c r="L82" s="44">
        <f t="shared" si="66"/>
        <v>8.3278360000000013</v>
      </c>
      <c r="M82" s="27">
        <f t="shared" si="67"/>
        <v>316.45776800000004</v>
      </c>
      <c r="N82" s="27">
        <f t="shared" si="68"/>
        <v>1950.2746857176001</v>
      </c>
      <c r="O82" s="76"/>
      <c r="P82" s="59"/>
      <c r="Q82" s="59"/>
      <c r="T82" s="61"/>
    </row>
    <row r="83" spans="1:20" s="60" customFormat="1" x14ac:dyDescent="0.3">
      <c r="A83" s="45">
        <f>IF(F83&lt;&gt;"",1+MAX($A$5:A82),"")</f>
        <v>50</v>
      </c>
      <c r="B83" s="91"/>
      <c r="C83" s="38" t="s">
        <v>401</v>
      </c>
      <c r="D83" s="55">
        <v>33.71</v>
      </c>
      <c r="E83" s="56">
        <v>0.1</v>
      </c>
      <c r="F83" s="57">
        <f t="shared" si="63"/>
        <v>37.081000000000003</v>
      </c>
      <c r="G83" s="58" t="s">
        <v>4</v>
      </c>
      <c r="H83" s="35">
        <v>39.395412</v>
      </c>
      <c r="I83" s="35">
        <f t="shared" si="64"/>
        <v>1460.8212723720001</v>
      </c>
      <c r="J83" s="43">
        <v>0.22559999999999997</v>
      </c>
      <c r="K83" s="24">
        <f t="shared" si="65"/>
        <v>38</v>
      </c>
      <c r="L83" s="44">
        <f t="shared" si="66"/>
        <v>8.3654735999999996</v>
      </c>
      <c r="M83" s="27">
        <f t="shared" si="67"/>
        <v>317.8879968</v>
      </c>
      <c r="N83" s="27">
        <f t="shared" si="68"/>
        <v>1778.7092691719999</v>
      </c>
      <c r="O83" s="76"/>
      <c r="P83" s="59"/>
      <c r="Q83" s="59"/>
      <c r="T83" s="61"/>
    </row>
    <row r="84" spans="1:20" s="60" customFormat="1" x14ac:dyDescent="0.3">
      <c r="A84" s="45">
        <f>IF(F84&lt;&gt;"",1+MAX($A$5:A83),"")</f>
        <v>51</v>
      </c>
      <c r="B84" s="91"/>
      <c r="C84" s="38" t="s">
        <v>400</v>
      </c>
      <c r="D84" s="55">
        <v>196.21</v>
      </c>
      <c r="E84" s="56">
        <v>0.1</v>
      </c>
      <c r="F84" s="57">
        <f t="shared" si="63"/>
        <v>215.83100000000002</v>
      </c>
      <c r="G84" s="58" t="s">
        <v>4</v>
      </c>
      <c r="H84" s="35">
        <v>10.140036480000001</v>
      </c>
      <c r="I84" s="35">
        <f t="shared" si="64"/>
        <v>2188.5342135148803</v>
      </c>
      <c r="J84" s="43">
        <v>7.5200000000000003E-2</v>
      </c>
      <c r="K84" s="24">
        <f t="shared" si="65"/>
        <v>38</v>
      </c>
      <c r="L84" s="44">
        <f t="shared" si="66"/>
        <v>16.230491200000003</v>
      </c>
      <c r="M84" s="27">
        <f t="shared" si="67"/>
        <v>616.75866560000009</v>
      </c>
      <c r="N84" s="27">
        <f t="shared" si="68"/>
        <v>2805.2928791148806</v>
      </c>
      <c r="O84" s="76"/>
      <c r="P84" s="59"/>
      <c r="Q84" s="59"/>
      <c r="T84" s="61"/>
    </row>
    <row r="85" spans="1:20" s="60" customFormat="1" x14ac:dyDescent="0.3">
      <c r="A85" s="45">
        <f>IF(F85&lt;&gt;"",1+MAX($A$5:A84),"")</f>
        <v>52</v>
      </c>
      <c r="B85" s="91"/>
      <c r="C85" s="38" t="s">
        <v>399</v>
      </c>
      <c r="D85" s="55">
        <f>2*36.17</f>
        <v>72.34</v>
      </c>
      <c r="E85" s="56">
        <v>0.1</v>
      </c>
      <c r="F85" s="57">
        <f t="shared" si="63"/>
        <v>79.574000000000012</v>
      </c>
      <c r="G85" s="58" t="s">
        <v>4</v>
      </c>
      <c r="H85" s="35">
        <v>4.167920399999999</v>
      </c>
      <c r="I85" s="35">
        <f t="shared" si="64"/>
        <v>331.65809790959997</v>
      </c>
      <c r="J85" s="43">
        <v>3.7600000000000001E-2</v>
      </c>
      <c r="K85" s="24">
        <f t="shared" si="65"/>
        <v>38</v>
      </c>
      <c r="L85" s="44">
        <f t="shared" si="66"/>
        <v>2.9919824000000004</v>
      </c>
      <c r="M85" s="27">
        <f t="shared" si="67"/>
        <v>113.69533120000001</v>
      </c>
      <c r="N85" s="27">
        <f t="shared" si="68"/>
        <v>445.35342910959997</v>
      </c>
      <c r="O85" s="76"/>
      <c r="P85" s="59"/>
      <c r="Q85" s="59"/>
      <c r="T85" s="61"/>
    </row>
    <row r="86" spans="1:20" s="60" customFormat="1" x14ac:dyDescent="0.3">
      <c r="A86" s="45">
        <f>IF(F86&lt;&gt;"",1+MAX($A$5:A85),"")</f>
        <v>53</v>
      </c>
      <c r="B86" s="91"/>
      <c r="C86" s="38" t="s">
        <v>398</v>
      </c>
      <c r="D86" s="55">
        <f>2*22.01</f>
        <v>44.02</v>
      </c>
      <c r="E86" s="56">
        <v>0.1</v>
      </c>
      <c r="F86" s="57">
        <f t="shared" si="63"/>
        <v>48.422000000000004</v>
      </c>
      <c r="G86" s="58" t="s">
        <v>4</v>
      </c>
      <c r="H86" s="35">
        <v>4.4419754399999993</v>
      </c>
      <c r="I86" s="35">
        <f t="shared" si="64"/>
        <v>215.08933475568</v>
      </c>
      <c r="J86" s="43">
        <v>4.7E-2</v>
      </c>
      <c r="K86" s="24">
        <f t="shared" si="65"/>
        <v>38</v>
      </c>
      <c r="L86" s="44">
        <f t="shared" si="66"/>
        <v>2.2758340000000001</v>
      </c>
      <c r="M86" s="27">
        <f t="shared" si="67"/>
        <v>86.48169200000001</v>
      </c>
      <c r="N86" s="27">
        <f t="shared" si="68"/>
        <v>301.57102675568001</v>
      </c>
      <c r="O86" s="76"/>
      <c r="P86" s="59"/>
      <c r="Q86" s="59"/>
      <c r="T86" s="61"/>
    </row>
    <row r="87" spans="1:20" s="60" customFormat="1" x14ac:dyDescent="0.3">
      <c r="A87" s="45" t="str">
        <f>IF(F87&lt;&gt;"",1+MAX($A$5:A86),"")</f>
        <v/>
      </c>
      <c r="B87" s="91"/>
      <c r="C87" s="38"/>
      <c r="D87" s="55"/>
      <c r="E87" s="56"/>
      <c r="F87" s="57"/>
      <c r="G87" s="58"/>
      <c r="H87" s="35"/>
      <c r="I87" s="35"/>
      <c r="J87" s="43"/>
      <c r="K87" s="24"/>
      <c r="L87" s="44"/>
      <c r="M87" s="27"/>
      <c r="N87" s="27"/>
      <c r="O87" s="76"/>
      <c r="P87" s="59"/>
      <c r="Q87" s="59"/>
      <c r="T87" s="61"/>
    </row>
    <row r="88" spans="1:20" s="60" customFormat="1" x14ac:dyDescent="0.3">
      <c r="A88" s="45" t="str">
        <f>IF(F88&lt;&gt;"",1+MAX($A$5:A87),"")</f>
        <v/>
      </c>
      <c r="B88" s="91"/>
      <c r="C88" s="86" t="s">
        <v>397</v>
      </c>
      <c r="D88" s="55"/>
      <c r="E88" s="56"/>
      <c r="F88" s="57"/>
      <c r="G88" s="58"/>
      <c r="H88" s="35"/>
      <c r="I88" s="35"/>
      <c r="J88" s="43"/>
      <c r="K88" s="24"/>
      <c r="L88" s="44"/>
      <c r="M88" s="27"/>
      <c r="N88" s="27"/>
      <c r="O88" s="76"/>
      <c r="P88" s="59"/>
      <c r="Q88" s="59"/>
      <c r="T88" s="61"/>
    </row>
    <row r="89" spans="1:20" s="60" customFormat="1" x14ac:dyDescent="0.3">
      <c r="A89" s="45">
        <f>IF(F89&lt;&gt;"",1+MAX($A$5:A88),"")</f>
        <v>54</v>
      </c>
      <c r="B89" s="91"/>
      <c r="C89" s="38" t="s">
        <v>396</v>
      </c>
      <c r="D89" s="55">
        <f>26*12.5</f>
        <v>325</v>
      </c>
      <c r="E89" s="56">
        <v>0.1</v>
      </c>
      <c r="F89" s="57">
        <f>(1+E89)*D89</f>
        <v>357.50000000000006</v>
      </c>
      <c r="G89" s="58" t="s">
        <v>4</v>
      </c>
      <c r="H89" s="35">
        <v>4.167920399999999</v>
      </c>
      <c r="I89" s="35">
        <f t="shared" ref="I89:I90" si="69">H89*F89</f>
        <v>1490.0315429999998</v>
      </c>
      <c r="J89" s="43">
        <v>3.7600000000000001E-2</v>
      </c>
      <c r="K89" s="24">
        <f t="shared" ref="K89:K90" si="70">$N$71</f>
        <v>38</v>
      </c>
      <c r="L89" s="44">
        <f t="shared" ref="L89:L90" si="71">J89*F89</f>
        <v>13.442000000000002</v>
      </c>
      <c r="M89" s="27">
        <f t="shared" ref="M89:M90" si="72">L89*K89</f>
        <v>510.79600000000005</v>
      </c>
      <c r="N89" s="27">
        <f t="shared" ref="N89:N90" si="73">M89+I89</f>
        <v>2000.8275429999999</v>
      </c>
      <c r="O89" s="76"/>
      <c r="P89" s="59"/>
      <c r="Q89" s="59"/>
      <c r="T89" s="61"/>
    </row>
    <row r="90" spans="1:20" s="60" customFormat="1" x14ac:dyDescent="0.3">
      <c r="A90" s="45">
        <f>IF(F90&lt;&gt;"",1+MAX($A$5:A89),"")</f>
        <v>55</v>
      </c>
      <c r="B90" s="91"/>
      <c r="C90" s="38" t="s">
        <v>395</v>
      </c>
      <c r="D90" s="55">
        <f>9*13.5</f>
        <v>121.5</v>
      </c>
      <c r="E90" s="56">
        <v>0.1</v>
      </c>
      <c r="F90" s="57">
        <f>(1+E90)*D90</f>
        <v>133.65</v>
      </c>
      <c r="G90" s="58" t="s">
        <v>4</v>
      </c>
      <c r="H90" s="35">
        <v>32.361332639999993</v>
      </c>
      <c r="I90" s="35">
        <f t="shared" si="69"/>
        <v>4325.0921073359996</v>
      </c>
      <c r="J90" s="43">
        <v>0.171738</v>
      </c>
      <c r="K90" s="24">
        <f t="shared" si="70"/>
        <v>38</v>
      </c>
      <c r="L90" s="44">
        <f t="shared" si="71"/>
        <v>22.952783700000001</v>
      </c>
      <c r="M90" s="27">
        <f t="shared" si="72"/>
        <v>872.20578060000003</v>
      </c>
      <c r="N90" s="27">
        <f t="shared" si="73"/>
        <v>5197.2978879359998</v>
      </c>
      <c r="O90" s="76"/>
      <c r="P90" s="59"/>
      <c r="Q90" s="59"/>
      <c r="T90" s="61"/>
    </row>
    <row r="91" spans="1:20" s="60" customFormat="1" x14ac:dyDescent="0.3">
      <c r="A91" s="45" t="str">
        <f>IF(F91&lt;&gt;"",1+MAX($A$5:A90),"")</f>
        <v/>
      </c>
      <c r="B91" s="91"/>
      <c r="C91" s="38"/>
      <c r="D91" s="55"/>
      <c r="E91" s="56"/>
      <c r="F91" s="57"/>
      <c r="G91" s="58"/>
      <c r="H91" s="35"/>
      <c r="I91" s="35"/>
      <c r="J91" s="43"/>
      <c r="K91" s="24"/>
      <c r="L91" s="44"/>
      <c r="M91" s="27"/>
      <c r="N91" s="27"/>
      <c r="O91" s="76"/>
      <c r="P91" s="59"/>
      <c r="Q91" s="59"/>
      <c r="T91" s="61"/>
    </row>
    <row r="92" spans="1:20" s="60" customFormat="1" x14ac:dyDescent="0.3">
      <c r="A92" s="45" t="str">
        <f>IF(F92&lt;&gt;"",1+MAX($A$5:A91),"")</f>
        <v/>
      </c>
      <c r="B92" s="91"/>
      <c r="C92" s="86" t="s">
        <v>394</v>
      </c>
      <c r="D92" s="55"/>
      <c r="E92" s="56"/>
      <c r="F92" s="57"/>
      <c r="G92" s="58"/>
      <c r="H92" s="35"/>
      <c r="I92" s="35"/>
      <c r="J92" s="43"/>
      <c r="K92" s="24"/>
      <c r="L92" s="44"/>
      <c r="M92" s="27"/>
      <c r="N92" s="27"/>
      <c r="O92" s="76"/>
      <c r="P92" s="59"/>
      <c r="Q92" s="59"/>
      <c r="T92" s="61"/>
    </row>
    <row r="93" spans="1:20" s="60" customFormat="1" x14ac:dyDescent="0.3">
      <c r="A93" s="45">
        <f>IF(F93&lt;&gt;"",1+MAX($A$5:A92),"")</f>
        <v>56</v>
      </c>
      <c r="B93" s="91"/>
      <c r="C93" s="38" t="s">
        <v>393</v>
      </c>
      <c r="D93" s="55">
        <v>3730</v>
      </c>
      <c r="E93" s="56">
        <v>0.1</v>
      </c>
      <c r="F93" s="57">
        <f>(1+E93)*D93</f>
        <v>4103</v>
      </c>
      <c r="G93" s="58" t="s">
        <v>5</v>
      </c>
      <c r="H93" s="35">
        <v>3.6540672000000001</v>
      </c>
      <c r="I93" s="35">
        <f t="shared" ref="I93:I95" si="74">H93*F93</f>
        <v>14992.6377216</v>
      </c>
      <c r="J93" s="43">
        <v>2.8199999999999996E-2</v>
      </c>
      <c r="K93" s="24">
        <f t="shared" ref="K93:K95" si="75">$N$71</f>
        <v>38</v>
      </c>
      <c r="L93" s="44">
        <f t="shared" ref="L93:L95" si="76">J93*F93</f>
        <v>115.70459999999999</v>
      </c>
      <c r="M93" s="27">
        <f t="shared" ref="M93:M95" si="77">L93*K93</f>
        <v>4396.7747999999992</v>
      </c>
      <c r="N93" s="27">
        <f t="shared" ref="N93:N95" si="78">M93+I93</f>
        <v>19389.412521599999</v>
      </c>
      <c r="O93" s="76"/>
      <c r="P93" s="59"/>
      <c r="Q93" s="59"/>
      <c r="T93" s="61"/>
    </row>
    <row r="94" spans="1:20" s="60" customFormat="1" x14ac:dyDescent="0.3">
      <c r="A94" s="45">
        <f>IF(F94&lt;&gt;"",1+MAX($A$5:A93),"")</f>
        <v>57</v>
      </c>
      <c r="B94" s="91"/>
      <c r="C94" s="38" t="s">
        <v>392</v>
      </c>
      <c r="D94" s="55">
        <v>64</v>
      </c>
      <c r="E94" s="56">
        <v>0.1</v>
      </c>
      <c r="F94" s="57">
        <f>(1+E94)*D94</f>
        <v>70.400000000000006</v>
      </c>
      <c r="G94" s="58" t="s">
        <v>5</v>
      </c>
      <c r="H94" s="35">
        <v>2.78622624</v>
      </c>
      <c r="I94" s="35">
        <f t="shared" si="74"/>
        <v>196.150327296</v>
      </c>
      <c r="J94" s="43">
        <v>2.8199999999999996E-2</v>
      </c>
      <c r="K94" s="24">
        <f t="shared" si="75"/>
        <v>38</v>
      </c>
      <c r="L94" s="44">
        <f t="shared" si="76"/>
        <v>1.9852799999999999</v>
      </c>
      <c r="M94" s="27">
        <f t="shared" si="77"/>
        <v>75.440640000000002</v>
      </c>
      <c r="N94" s="27">
        <f t="shared" si="78"/>
        <v>271.59096729600003</v>
      </c>
      <c r="O94" s="76"/>
      <c r="P94" s="59"/>
      <c r="Q94" s="59"/>
      <c r="T94" s="61"/>
    </row>
    <row r="95" spans="1:20" s="60" customFormat="1" x14ac:dyDescent="0.3">
      <c r="A95" s="45">
        <f>IF(F95&lt;&gt;"",1+MAX($A$5:A94),"")</f>
        <v>58</v>
      </c>
      <c r="B95" s="91"/>
      <c r="C95" s="38" t="s">
        <v>391</v>
      </c>
      <c r="D95" s="55">
        <v>250</v>
      </c>
      <c r="E95" s="56">
        <v>0.1</v>
      </c>
      <c r="F95" s="57">
        <f>(1+E95)*D95</f>
        <v>275</v>
      </c>
      <c r="G95" s="58" t="s">
        <v>5</v>
      </c>
      <c r="H95" s="35">
        <v>7.4223239999999988</v>
      </c>
      <c r="I95" s="35">
        <f t="shared" si="74"/>
        <v>2041.1390999999996</v>
      </c>
      <c r="J95" s="43">
        <v>4.7E-2</v>
      </c>
      <c r="K95" s="24">
        <f t="shared" si="75"/>
        <v>38</v>
      </c>
      <c r="L95" s="44">
        <f t="shared" si="76"/>
        <v>12.925000000000001</v>
      </c>
      <c r="M95" s="27">
        <f t="shared" si="77"/>
        <v>491.15000000000003</v>
      </c>
      <c r="N95" s="27">
        <f t="shared" si="78"/>
        <v>2532.2890999999995</v>
      </c>
      <c r="O95" s="76"/>
      <c r="P95" s="59"/>
      <c r="Q95" s="59"/>
      <c r="T95" s="61"/>
    </row>
    <row r="96" spans="1:20" s="60" customFormat="1" x14ac:dyDescent="0.3">
      <c r="A96" s="45" t="str">
        <f>IF(F96&lt;&gt;"",1+MAX($A$5:A95),"")</f>
        <v/>
      </c>
      <c r="B96" s="91"/>
      <c r="C96" s="38"/>
      <c r="D96" s="55"/>
      <c r="E96" s="56"/>
      <c r="F96" s="57"/>
      <c r="G96" s="58"/>
      <c r="H96" s="35"/>
      <c r="I96" s="35"/>
      <c r="J96" s="43"/>
      <c r="K96" s="24"/>
      <c r="L96" s="44"/>
      <c r="M96" s="27"/>
      <c r="N96" s="27"/>
      <c r="O96" s="76"/>
      <c r="P96" s="59"/>
      <c r="Q96" s="59"/>
      <c r="T96" s="61"/>
    </row>
    <row r="97" spans="1:20" s="60" customFormat="1" x14ac:dyDescent="0.3">
      <c r="A97" s="45" t="str">
        <f>IF(F97&lt;&gt;"",1+MAX($A$5:A96),"")</f>
        <v/>
      </c>
      <c r="B97" s="91"/>
      <c r="C97" s="86" t="s">
        <v>390</v>
      </c>
      <c r="D97" s="55"/>
      <c r="E97" s="56"/>
      <c r="F97" s="57"/>
      <c r="G97" s="58"/>
      <c r="H97" s="35"/>
      <c r="I97" s="35"/>
      <c r="J97" s="43"/>
      <c r="K97" s="24"/>
      <c r="L97" s="44"/>
      <c r="M97" s="27"/>
      <c r="N97" s="27"/>
      <c r="O97" s="76"/>
      <c r="P97" s="59"/>
      <c r="Q97" s="59"/>
      <c r="T97" s="61"/>
    </row>
    <row r="98" spans="1:20" s="60" customFormat="1" x14ac:dyDescent="0.3">
      <c r="A98" s="45">
        <f>IF(F98&lt;&gt;"",1+MAX($A$5:A97),"")</f>
        <v>59</v>
      </c>
      <c r="B98" s="91"/>
      <c r="C98" s="38" t="s">
        <v>389</v>
      </c>
      <c r="D98" s="55">
        <v>5463</v>
      </c>
      <c r="E98" s="56">
        <v>0.1</v>
      </c>
      <c r="F98" s="57">
        <f>(1+E98)*D98</f>
        <v>6009.3</v>
      </c>
      <c r="G98" s="58" t="s">
        <v>5</v>
      </c>
      <c r="H98" s="35">
        <v>1.4319375839999997</v>
      </c>
      <c r="I98" s="35">
        <f t="shared" ref="I98" si="79">H98*F98</f>
        <v>8604.9425235311992</v>
      </c>
      <c r="J98" s="43">
        <v>2.5943999999999998E-2</v>
      </c>
      <c r="K98" s="24">
        <f t="shared" ref="K98" si="80">$N$71</f>
        <v>38</v>
      </c>
      <c r="L98" s="44">
        <f t="shared" ref="L98" si="81">J98*F98</f>
        <v>155.9052792</v>
      </c>
      <c r="M98" s="27">
        <f t="shared" ref="M98" si="82">L98*K98</f>
        <v>5924.4006095999994</v>
      </c>
      <c r="N98" s="27">
        <f t="shared" ref="N98" si="83">M98+I98</f>
        <v>14529.343133131199</v>
      </c>
      <c r="O98" s="76"/>
      <c r="P98" s="59"/>
      <c r="Q98" s="59"/>
      <c r="T98" s="61"/>
    </row>
    <row r="99" spans="1:20" s="60" customFormat="1" x14ac:dyDescent="0.3">
      <c r="A99" s="45">
        <f>IF(F99&lt;&gt;"",1+MAX($A$5:A98),"")</f>
        <v>60</v>
      </c>
      <c r="B99" s="91"/>
      <c r="C99" s="92" t="s">
        <v>388</v>
      </c>
      <c r="D99" s="55">
        <f>ROUNDUP(F98/32,0)</f>
        <v>188</v>
      </c>
      <c r="E99" s="56">
        <v>0</v>
      </c>
      <c r="F99" s="57">
        <f>(1+E99)*D99</f>
        <v>188</v>
      </c>
      <c r="G99" s="58" t="s">
        <v>3</v>
      </c>
      <c r="H99" s="35"/>
      <c r="I99" s="35"/>
      <c r="J99" s="43"/>
      <c r="K99" s="24"/>
      <c r="L99" s="44"/>
      <c r="M99" s="27"/>
      <c r="N99" s="27"/>
      <c r="O99" s="76"/>
      <c r="P99" s="59"/>
      <c r="Q99" s="59"/>
      <c r="T99" s="61"/>
    </row>
    <row r="100" spans="1:20" s="60" customFormat="1" x14ac:dyDescent="0.3">
      <c r="A100" s="45">
        <f>IF(F100&lt;&gt;"",1+MAX($A$5:A99),"")</f>
        <v>61</v>
      </c>
      <c r="B100" s="91"/>
      <c r="C100" s="38" t="s">
        <v>387</v>
      </c>
      <c r="D100" s="55">
        <f>D99*93</f>
        <v>17484</v>
      </c>
      <c r="E100" s="56">
        <v>0</v>
      </c>
      <c r="F100" s="57">
        <f>(1+E100)*D100</f>
        <v>17484</v>
      </c>
      <c r="G100" s="58" t="s">
        <v>3</v>
      </c>
      <c r="H100" s="35">
        <v>0.38824463999999997</v>
      </c>
      <c r="I100" s="35">
        <f t="shared" ref="I100" si="84">H100*F100</f>
        <v>6788.0692857599997</v>
      </c>
      <c r="J100" s="43">
        <v>4.2299999999999994E-3</v>
      </c>
      <c r="K100" s="24">
        <f t="shared" ref="K100" si="85">$N$71</f>
        <v>38</v>
      </c>
      <c r="L100" s="44">
        <f t="shared" ref="L100" si="86">J100*F100</f>
        <v>73.957319999999996</v>
      </c>
      <c r="M100" s="27">
        <f t="shared" ref="M100" si="87">L100*K100</f>
        <v>2810.3781599999998</v>
      </c>
      <c r="N100" s="27">
        <f t="shared" ref="N100" si="88">M100+I100</f>
        <v>9598.447445759999</v>
      </c>
      <c r="O100" s="76"/>
      <c r="P100" s="59"/>
      <c r="Q100" s="59"/>
      <c r="T100" s="61"/>
    </row>
    <row r="101" spans="1:20" s="3" customFormat="1" x14ac:dyDescent="0.25">
      <c r="A101" s="45" t="str">
        <f>IF(F101&lt;&gt;"",1+MAX($A$5:A100),"")</f>
        <v/>
      </c>
      <c r="B101" s="100"/>
      <c r="C101" s="18"/>
      <c r="D101" s="19"/>
      <c r="E101" s="20"/>
      <c r="F101" s="29"/>
      <c r="G101" s="21"/>
      <c r="H101" s="35"/>
      <c r="I101" s="35"/>
      <c r="J101" s="43"/>
      <c r="K101" s="24"/>
      <c r="L101" s="44"/>
      <c r="M101" s="27"/>
      <c r="N101" s="27"/>
      <c r="O101" s="76"/>
      <c r="P101" s="59"/>
      <c r="Q101" s="2"/>
      <c r="T101" s="16"/>
    </row>
    <row r="102" spans="1:20" s="60" customFormat="1" x14ac:dyDescent="0.3">
      <c r="A102" s="45" t="str">
        <f>IF(F102&lt;&gt;"",1+MAX($A$5:A101),"")</f>
        <v/>
      </c>
      <c r="B102" s="106" t="s">
        <v>141</v>
      </c>
      <c r="C102" s="86" t="s">
        <v>107</v>
      </c>
      <c r="D102" s="55"/>
      <c r="E102" s="56"/>
      <c r="F102" s="57"/>
      <c r="G102" s="58"/>
      <c r="H102" s="35"/>
      <c r="I102" s="35"/>
      <c r="J102" s="43"/>
      <c r="K102" s="24"/>
      <c r="L102" s="44"/>
      <c r="M102" s="27"/>
      <c r="N102" s="27"/>
      <c r="O102" s="76"/>
      <c r="P102" s="59"/>
      <c r="Q102" s="59"/>
      <c r="T102" s="61"/>
    </row>
    <row r="103" spans="1:20" s="60" customFormat="1" x14ac:dyDescent="0.3">
      <c r="A103" s="45">
        <f>IF(F103&lt;&gt;"",1+MAX($A$5:A102),"")</f>
        <v>62</v>
      </c>
      <c r="B103" s="106"/>
      <c r="C103" s="38" t="s">
        <v>139</v>
      </c>
      <c r="D103" s="55">
        <v>53</v>
      </c>
      <c r="E103" s="56">
        <v>0.1</v>
      </c>
      <c r="F103" s="57">
        <f>(1+E103)*D103</f>
        <v>58.300000000000004</v>
      </c>
      <c r="G103" s="58" t="s">
        <v>4</v>
      </c>
      <c r="H103" s="35">
        <v>148.1229428</v>
      </c>
      <c r="I103" s="35">
        <f t="shared" ref="I103" si="89">H103*F103</f>
        <v>8635.5675652400005</v>
      </c>
      <c r="J103" s="43">
        <v>0.31208000000000002</v>
      </c>
      <c r="K103" s="24">
        <f t="shared" ref="K103:K106" si="90">$N$71</f>
        <v>38</v>
      </c>
      <c r="L103" s="44">
        <f t="shared" ref="L103" si="91">J103*F103</f>
        <v>18.194264000000004</v>
      </c>
      <c r="M103" s="27">
        <f t="shared" ref="M103" si="92">L103*K103</f>
        <v>691.38203200000021</v>
      </c>
      <c r="N103" s="27">
        <f t="shared" ref="N103" si="93">M103+I103</f>
        <v>9326.94959724</v>
      </c>
      <c r="O103" s="76"/>
      <c r="P103" s="59"/>
      <c r="Q103" s="59"/>
      <c r="T103" s="61"/>
    </row>
    <row r="104" spans="1:20" s="60" customFormat="1" x14ac:dyDescent="0.3">
      <c r="A104" s="45">
        <f>IF(F104&lt;&gt;"",1+MAX($A$5:A103),"")</f>
        <v>63</v>
      </c>
      <c r="B104" s="106"/>
      <c r="C104" s="38" t="s">
        <v>138</v>
      </c>
      <c r="D104" s="55">
        <v>49.97</v>
      </c>
      <c r="E104" s="56">
        <v>0.1</v>
      </c>
      <c r="F104" s="57">
        <f>(1+E104)*D104</f>
        <v>54.967000000000006</v>
      </c>
      <c r="G104" s="58" t="s">
        <v>4</v>
      </c>
      <c r="H104" s="35">
        <v>192.53318140000002</v>
      </c>
      <c r="I104" s="35">
        <f t="shared" ref="I104:I106" si="94">H104*F104</f>
        <v>10582.971382013802</v>
      </c>
      <c r="J104" s="43">
        <v>0.36096</v>
      </c>
      <c r="K104" s="24">
        <f t="shared" si="90"/>
        <v>38</v>
      </c>
      <c r="L104" s="44">
        <f t="shared" ref="L104:L106" si="95">J104*F104</f>
        <v>19.840888320000001</v>
      </c>
      <c r="M104" s="27">
        <f t="shared" ref="M104:M106" si="96">L104*K104</f>
        <v>753.95375616000001</v>
      </c>
      <c r="N104" s="27">
        <f t="shared" ref="N104:N106" si="97">M104+I104</f>
        <v>11336.925138173803</v>
      </c>
      <c r="O104" s="76"/>
      <c r="P104" s="59"/>
      <c r="Q104" s="59"/>
      <c r="T104" s="61"/>
    </row>
    <row r="105" spans="1:20" s="60" customFormat="1" x14ac:dyDescent="0.3">
      <c r="A105" s="45">
        <f>IF(F105&lt;&gt;"",1+MAX($A$5:A104),"")</f>
        <v>64</v>
      </c>
      <c r="B105" s="106"/>
      <c r="C105" s="38" t="s">
        <v>137</v>
      </c>
      <c r="D105" s="55">
        <v>17.73</v>
      </c>
      <c r="E105" s="56">
        <v>0.1</v>
      </c>
      <c r="F105" s="57">
        <f>(1+E105)*D105</f>
        <v>19.503000000000004</v>
      </c>
      <c r="G105" s="58" t="s">
        <v>4</v>
      </c>
      <c r="H105" s="35">
        <v>252.1687</v>
      </c>
      <c r="I105" s="35">
        <f t="shared" si="94"/>
        <v>4918.0461561000011</v>
      </c>
      <c r="J105" s="43">
        <v>0.41970999999999997</v>
      </c>
      <c r="K105" s="24">
        <f t="shared" si="90"/>
        <v>38</v>
      </c>
      <c r="L105" s="44">
        <f t="shared" si="95"/>
        <v>8.1856041300000015</v>
      </c>
      <c r="M105" s="27">
        <f t="shared" si="96"/>
        <v>311.05295694000006</v>
      </c>
      <c r="N105" s="27">
        <f t="shared" si="97"/>
        <v>5229.0991130400016</v>
      </c>
      <c r="O105" s="76"/>
      <c r="P105" s="59"/>
      <c r="Q105" s="59"/>
      <c r="T105" s="61"/>
    </row>
    <row r="106" spans="1:20" s="60" customFormat="1" ht="30.6" customHeight="1" x14ac:dyDescent="0.3">
      <c r="A106" s="45">
        <f>IF(F106&lt;&gt;"",1+MAX($A$5:A105),"")</f>
        <v>65</v>
      </c>
      <c r="B106" s="106"/>
      <c r="C106" s="38" t="s">
        <v>136</v>
      </c>
      <c r="D106" s="55">
        <v>32.47</v>
      </c>
      <c r="E106" s="56">
        <v>0.1</v>
      </c>
      <c r="F106" s="57">
        <f>(1+E106)*D106</f>
        <v>35.716999999999999</v>
      </c>
      <c r="G106" s="58" t="s">
        <v>4</v>
      </c>
      <c r="H106" s="35">
        <v>296.89296000000002</v>
      </c>
      <c r="I106" s="35">
        <f t="shared" si="94"/>
        <v>10604.125852319999</v>
      </c>
      <c r="J106" s="43">
        <v>0.48127999999999999</v>
      </c>
      <c r="K106" s="24">
        <f t="shared" si="90"/>
        <v>38</v>
      </c>
      <c r="L106" s="44">
        <f t="shared" si="95"/>
        <v>17.189877759999998</v>
      </c>
      <c r="M106" s="27">
        <f t="shared" si="96"/>
        <v>653.21535487999995</v>
      </c>
      <c r="N106" s="27">
        <f t="shared" si="97"/>
        <v>11257.341207199999</v>
      </c>
      <c r="O106" s="76"/>
      <c r="P106" s="59"/>
      <c r="Q106" s="59"/>
      <c r="T106" s="61"/>
    </row>
    <row r="107" spans="1:20" s="60" customFormat="1" x14ac:dyDescent="0.3">
      <c r="A107" s="45" t="str">
        <f>IF(F107&lt;&gt;"",1+MAX($A$5:A106),"")</f>
        <v/>
      </c>
      <c r="B107" s="91"/>
      <c r="C107" s="38"/>
      <c r="D107" s="55"/>
      <c r="E107" s="56"/>
      <c r="F107" s="57"/>
      <c r="G107" s="58"/>
      <c r="H107" s="35"/>
      <c r="I107" s="35"/>
      <c r="J107" s="43"/>
      <c r="K107" s="24"/>
      <c r="L107" s="44"/>
      <c r="M107" s="27"/>
      <c r="N107" s="27"/>
      <c r="O107" s="76"/>
      <c r="P107" s="59"/>
      <c r="Q107" s="59"/>
      <c r="T107" s="61"/>
    </row>
    <row r="108" spans="1:20" s="3" customFormat="1" x14ac:dyDescent="0.25">
      <c r="A108" s="31"/>
      <c r="B108" s="62"/>
      <c r="C108" s="17" t="s">
        <v>45</v>
      </c>
      <c r="D108" s="25"/>
      <c r="E108" s="8"/>
      <c r="F108" s="28"/>
      <c r="G108" s="8"/>
      <c r="H108" s="8"/>
      <c r="I108" s="8"/>
      <c r="J108" s="8"/>
      <c r="K108" s="8"/>
      <c r="L108" s="8"/>
      <c r="M108" s="22"/>
      <c r="N108" s="8"/>
      <c r="O108" s="9">
        <f>SUM(N110:N121)</f>
        <v>42887.305272363206</v>
      </c>
      <c r="P108" s="59"/>
      <c r="Q108" s="2"/>
      <c r="T108" s="16"/>
    </row>
    <row r="109" spans="1:20" s="3" customFormat="1" x14ac:dyDescent="0.25">
      <c r="A109" s="45" t="str">
        <f>IF(F109&lt;&gt;"",1+MAX($A$5:A108),"")</f>
        <v/>
      </c>
      <c r="B109" s="84"/>
      <c r="C109" s="18"/>
      <c r="D109" s="19"/>
      <c r="E109" s="20"/>
      <c r="F109" s="29"/>
      <c r="G109" s="21"/>
      <c r="H109" s="21"/>
      <c r="I109" s="21"/>
      <c r="J109" s="21"/>
      <c r="K109" s="21"/>
      <c r="L109" s="21"/>
      <c r="M109" s="40" t="s">
        <v>21</v>
      </c>
      <c r="N109" s="41">
        <v>34</v>
      </c>
      <c r="O109" s="76"/>
      <c r="P109" s="59"/>
      <c r="Q109" s="2"/>
      <c r="T109" s="16"/>
    </row>
    <row r="110" spans="1:20" s="60" customFormat="1" x14ac:dyDescent="0.3">
      <c r="A110" s="45" t="str">
        <f>IF(F110&lt;&gt;"",1+MAX($A$5:A109),"")</f>
        <v/>
      </c>
      <c r="B110" s="106" t="s">
        <v>141</v>
      </c>
      <c r="C110" s="86" t="s">
        <v>46</v>
      </c>
      <c r="D110" s="55"/>
      <c r="E110" s="56"/>
      <c r="F110" s="57"/>
      <c r="G110" s="58"/>
      <c r="H110" s="35"/>
      <c r="I110" s="35"/>
      <c r="J110" s="43"/>
      <c r="K110" s="24"/>
      <c r="L110" s="44"/>
      <c r="M110" s="27"/>
      <c r="N110" s="27"/>
      <c r="O110" s="76"/>
      <c r="P110" s="59"/>
      <c r="Q110" s="59"/>
      <c r="T110" s="61"/>
    </row>
    <row r="111" spans="1:20" s="60" customFormat="1" x14ac:dyDescent="0.3">
      <c r="A111" s="45">
        <f>IF(F111&lt;&gt;"",1+MAX($A$5:A110),"")</f>
        <v>66</v>
      </c>
      <c r="B111" s="106"/>
      <c r="C111" s="38" t="s">
        <v>148</v>
      </c>
      <c r="D111" s="55">
        <v>5225</v>
      </c>
      <c r="E111" s="56">
        <v>0.1</v>
      </c>
      <c r="F111" s="57">
        <f t="shared" ref="F111:F120" si="98">(1+E111)*D111</f>
        <v>5747.5000000000009</v>
      </c>
      <c r="G111" s="58" t="s">
        <v>5</v>
      </c>
      <c r="H111" s="35">
        <v>3.1592455999999998</v>
      </c>
      <c r="I111" s="35">
        <f t="shared" ref="I111" si="99">H111*F111</f>
        <v>18157.764086000003</v>
      </c>
      <c r="J111" s="43">
        <v>1.8800000000000001E-2</v>
      </c>
      <c r="K111" s="24">
        <f>$N$109</f>
        <v>34</v>
      </c>
      <c r="L111" s="44">
        <f t="shared" ref="L111" si="100">J111*F111</f>
        <v>108.05300000000003</v>
      </c>
      <c r="M111" s="27">
        <f t="shared" ref="M111" si="101">L111*K111</f>
        <v>3673.802000000001</v>
      </c>
      <c r="N111" s="27">
        <f t="shared" ref="N111" si="102">M111+I111</f>
        <v>21831.566086000003</v>
      </c>
      <c r="O111" s="76"/>
      <c r="P111" s="59"/>
      <c r="Q111" s="59"/>
      <c r="T111" s="61"/>
    </row>
    <row r="112" spans="1:20" s="60" customFormat="1" x14ac:dyDescent="0.3">
      <c r="A112" s="45">
        <f>IF(F112&lt;&gt;"",1+MAX($A$5:A111),"")</f>
        <v>67</v>
      </c>
      <c r="B112" s="106"/>
      <c r="C112" s="38" t="s">
        <v>147</v>
      </c>
      <c r="D112" s="55">
        <v>5225</v>
      </c>
      <c r="E112" s="56">
        <v>0.1</v>
      </c>
      <c r="F112" s="57">
        <f t="shared" si="98"/>
        <v>5747.5000000000009</v>
      </c>
      <c r="G112" s="58" t="s">
        <v>5</v>
      </c>
      <c r="H112" s="35">
        <v>0.51861109999999999</v>
      </c>
      <c r="I112" s="35">
        <f t="shared" ref="I112:I120" si="103">H112*F112</f>
        <v>2980.7172972500002</v>
      </c>
      <c r="J112" s="43">
        <v>8.3660000000000002E-3</v>
      </c>
      <c r="K112" s="24">
        <f t="shared" ref="K112:K120" si="104">$N$109</f>
        <v>34</v>
      </c>
      <c r="L112" s="44">
        <f t="shared" ref="L112:L120" si="105">J112*F112</f>
        <v>48.083585000000006</v>
      </c>
      <c r="M112" s="27">
        <f t="shared" ref="M112:M120" si="106">L112*K112</f>
        <v>1634.8418900000001</v>
      </c>
      <c r="N112" s="27">
        <f t="shared" ref="N112:N120" si="107">M112+I112</f>
        <v>4615.5591872500008</v>
      </c>
      <c r="O112" s="76"/>
      <c r="P112" s="59"/>
      <c r="Q112" s="59"/>
      <c r="T112" s="61"/>
    </row>
    <row r="113" spans="1:20" s="60" customFormat="1" x14ac:dyDescent="0.3">
      <c r="A113" s="45">
        <f>IF(F113&lt;&gt;"",1+MAX($A$5:A112),"")</f>
        <v>68</v>
      </c>
      <c r="B113" s="106"/>
      <c r="C113" s="38" t="s">
        <v>108</v>
      </c>
      <c r="D113" s="55">
        <v>5225</v>
      </c>
      <c r="E113" s="56">
        <v>0.1</v>
      </c>
      <c r="F113" s="57">
        <f t="shared" si="98"/>
        <v>5747.5000000000009</v>
      </c>
      <c r="G113" s="58" t="s">
        <v>5</v>
      </c>
      <c r="H113" s="35">
        <v>0.63755859999999998</v>
      </c>
      <c r="I113" s="35">
        <f t="shared" si="103"/>
        <v>3664.3680535000003</v>
      </c>
      <c r="J113" s="43">
        <v>9.4000000000000004E-3</v>
      </c>
      <c r="K113" s="24">
        <f t="shared" si="104"/>
        <v>34</v>
      </c>
      <c r="L113" s="44">
        <f t="shared" si="105"/>
        <v>54.026500000000013</v>
      </c>
      <c r="M113" s="27">
        <f t="shared" si="106"/>
        <v>1836.9010000000005</v>
      </c>
      <c r="N113" s="27">
        <f t="shared" si="107"/>
        <v>5501.2690535000011</v>
      </c>
      <c r="O113" s="76"/>
      <c r="P113" s="59"/>
      <c r="Q113" s="59"/>
      <c r="T113" s="61"/>
    </row>
    <row r="114" spans="1:20" s="60" customFormat="1" x14ac:dyDescent="0.3">
      <c r="A114" s="45">
        <f>IF(F114&lt;&gt;"",1+MAX($A$5:A113),"")</f>
        <v>69</v>
      </c>
      <c r="B114" s="106"/>
      <c r="C114" s="38" t="s">
        <v>146</v>
      </c>
      <c r="D114" s="55">
        <v>5225</v>
      </c>
      <c r="E114" s="56">
        <v>0.1</v>
      </c>
      <c r="F114" s="57">
        <f t="shared" si="98"/>
        <v>5747.5000000000009</v>
      </c>
      <c r="G114" s="58" t="s">
        <v>5</v>
      </c>
      <c r="H114" s="35">
        <v>0.72320079999999998</v>
      </c>
      <c r="I114" s="35">
        <f t="shared" si="103"/>
        <v>4156.5965980000001</v>
      </c>
      <c r="J114" s="43">
        <v>9.4000000000000004E-3</v>
      </c>
      <c r="K114" s="24">
        <f t="shared" si="104"/>
        <v>34</v>
      </c>
      <c r="L114" s="44">
        <f t="shared" si="105"/>
        <v>54.026500000000013</v>
      </c>
      <c r="M114" s="27">
        <f t="shared" si="106"/>
        <v>1836.9010000000005</v>
      </c>
      <c r="N114" s="27">
        <f t="shared" si="107"/>
        <v>5993.4975980000008</v>
      </c>
      <c r="O114" s="76"/>
      <c r="P114" s="59"/>
      <c r="Q114" s="59"/>
      <c r="T114" s="61"/>
    </row>
    <row r="115" spans="1:20" s="60" customFormat="1" x14ac:dyDescent="0.3">
      <c r="A115" s="45">
        <f>IF(F115&lt;&gt;"",1+MAX($A$5:A114),"")</f>
        <v>70</v>
      </c>
      <c r="B115" s="106"/>
      <c r="C115" s="38" t="s">
        <v>145</v>
      </c>
      <c r="D115" s="55">
        <v>166.93</v>
      </c>
      <c r="E115" s="56">
        <v>0.1</v>
      </c>
      <c r="F115" s="57">
        <f t="shared" si="98"/>
        <v>183.62300000000002</v>
      </c>
      <c r="G115" s="58" t="s">
        <v>4</v>
      </c>
      <c r="H115" s="35">
        <v>2.0173496000000002</v>
      </c>
      <c r="I115" s="35">
        <f t="shared" si="103"/>
        <v>370.43178560080008</v>
      </c>
      <c r="J115" s="43">
        <v>1.8800000000000001E-2</v>
      </c>
      <c r="K115" s="24">
        <f t="shared" si="104"/>
        <v>34</v>
      </c>
      <c r="L115" s="44">
        <f t="shared" si="105"/>
        <v>3.4521124000000003</v>
      </c>
      <c r="M115" s="27">
        <f t="shared" si="106"/>
        <v>117.3718216</v>
      </c>
      <c r="N115" s="27">
        <f t="shared" si="107"/>
        <v>487.80360720080012</v>
      </c>
      <c r="O115" s="76"/>
      <c r="P115" s="59"/>
      <c r="Q115" s="59"/>
      <c r="T115" s="61"/>
    </row>
    <row r="116" spans="1:20" s="60" customFormat="1" x14ac:dyDescent="0.3">
      <c r="A116" s="45">
        <f>IF(F116&lt;&gt;"",1+MAX($A$5:A115),"")</f>
        <v>71</v>
      </c>
      <c r="B116" s="106"/>
      <c r="C116" s="38" t="s">
        <v>144</v>
      </c>
      <c r="D116" s="55">
        <v>166.93</v>
      </c>
      <c r="E116" s="56">
        <v>0.1</v>
      </c>
      <c r="F116" s="57">
        <f t="shared" si="98"/>
        <v>183.62300000000002</v>
      </c>
      <c r="G116" s="58" t="s">
        <v>4</v>
      </c>
      <c r="H116" s="35">
        <v>3.0450560000000002</v>
      </c>
      <c r="I116" s="35">
        <f t="shared" si="103"/>
        <v>559.14231788800009</v>
      </c>
      <c r="J116" s="43">
        <v>2.8199999999999996E-2</v>
      </c>
      <c r="K116" s="24">
        <f t="shared" si="104"/>
        <v>34</v>
      </c>
      <c r="L116" s="44">
        <f t="shared" si="105"/>
        <v>5.1781685999999993</v>
      </c>
      <c r="M116" s="27">
        <f t="shared" si="106"/>
        <v>176.05773239999996</v>
      </c>
      <c r="N116" s="27">
        <f t="shared" si="107"/>
        <v>735.20005028800006</v>
      </c>
      <c r="O116" s="76"/>
      <c r="P116" s="59"/>
      <c r="Q116" s="59"/>
      <c r="T116" s="61"/>
    </row>
    <row r="117" spans="1:20" s="60" customFormat="1" x14ac:dyDescent="0.3">
      <c r="A117" s="45">
        <f>IF(F117&lt;&gt;"",1+MAX($A$5:A116),"")</f>
        <v>72</v>
      </c>
      <c r="B117" s="106"/>
      <c r="C117" s="38" t="s">
        <v>114</v>
      </c>
      <c r="D117" s="55">
        <v>47.74</v>
      </c>
      <c r="E117" s="56">
        <v>0.1</v>
      </c>
      <c r="F117" s="57">
        <f t="shared" si="98"/>
        <v>52.514000000000003</v>
      </c>
      <c r="G117" s="58" t="s">
        <v>4</v>
      </c>
      <c r="H117" s="35">
        <v>3.9205095999999999</v>
      </c>
      <c r="I117" s="35">
        <f t="shared" si="103"/>
        <v>205.88164113440001</v>
      </c>
      <c r="J117" s="43">
        <v>3.7600000000000001E-2</v>
      </c>
      <c r="K117" s="24">
        <f t="shared" si="104"/>
        <v>34</v>
      </c>
      <c r="L117" s="44">
        <f t="shared" si="105"/>
        <v>1.9745264000000002</v>
      </c>
      <c r="M117" s="27">
        <f t="shared" si="106"/>
        <v>67.133897600000012</v>
      </c>
      <c r="N117" s="27">
        <f t="shared" si="107"/>
        <v>273.01553873440002</v>
      </c>
      <c r="O117" s="76"/>
      <c r="P117" s="59"/>
      <c r="Q117" s="59"/>
      <c r="T117" s="61"/>
    </row>
    <row r="118" spans="1:20" s="60" customFormat="1" x14ac:dyDescent="0.3">
      <c r="A118" s="45">
        <f>IF(F118&lt;&gt;"",1+MAX($A$5:A117),"")</f>
        <v>73</v>
      </c>
      <c r="B118" s="106"/>
      <c r="C118" s="38" t="s">
        <v>143</v>
      </c>
      <c r="D118" s="55">
        <v>152.85</v>
      </c>
      <c r="E118" s="56">
        <v>0.1</v>
      </c>
      <c r="F118" s="57">
        <f t="shared" si="98"/>
        <v>168.13500000000002</v>
      </c>
      <c r="G118" s="58" t="s">
        <v>4</v>
      </c>
      <c r="H118" s="35">
        <v>3.9205095999999999</v>
      </c>
      <c r="I118" s="35">
        <f t="shared" si="103"/>
        <v>659.17488159600009</v>
      </c>
      <c r="J118" s="43">
        <v>3.7600000000000001E-2</v>
      </c>
      <c r="K118" s="24">
        <f t="shared" si="104"/>
        <v>34</v>
      </c>
      <c r="L118" s="44">
        <f t="shared" si="105"/>
        <v>6.3218760000000014</v>
      </c>
      <c r="M118" s="27">
        <f t="shared" si="106"/>
        <v>214.94378400000005</v>
      </c>
      <c r="N118" s="27">
        <f t="shared" si="107"/>
        <v>874.11866559600014</v>
      </c>
      <c r="O118" s="76"/>
      <c r="P118" s="59"/>
      <c r="Q118" s="59"/>
      <c r="T118" s="61"/>
    </row>
    <row r="119" spans="1:20" s="60" customFormat="1" x14ac:dyDescent="0.3">
      <c r="A119" s="45">
        <f>IF(F119&lt;&gt;"",1+MAX($A$5:A118),"")</f>
        <v>74</v>
      </c>
      <c r="B119" s="106"/>
      <c r="C119" s="38" t="s">
        <v>109</v>
      </c>
      <c r="D119" s="55">
        <v>152.85</v>
      </c>
      <c r="E119" s="56">
        <v>0.1</v>
      </c>
      <c r="F119" s="57">
        <f t="shared" si="98"/>
        <v>168.13500000000002</v>
      </c>
      <c r="G119" s="58" t="s">
        <v>4</v>
      </c>
      <c r="H119" s="35">
        <v>6.4421965999999991</v>
      </c>
      <c r="I119" s="35">
        <f t="shared" si="103"/>
        <v>1083.158725341</v>
      </c>
      <c r="J119" s="43">
        <v>6.5799999999999997E-2</v>
      </c>
      <c r="K119" s="24">
        <f t="shared" si="104"/>
        <v>34</v>
      </c>
      <c r="L119" s="44">
        <f t="shared" si="105"/>
        <v>11.063283</v>
      </c>
      <c r="M119" s="27">
        <f t="shared" si="106"/>
        <v>376.15162200000003</v>
      </c>
      <c r="N119" s="27">
        <f t="shared" si="107"/>
        <v>1459.3103473410001</v>
      </c>
      <c r="O119" s="76"/>
      <c r="P119" s="59"/>
      <c r="Q119" s="59"/>
      <c r="T119" s="61"/>
    </row>
    <row r="120" spans="1:20" s="60" customFormat="1" x14ac:dyDescent="0.3">
      <c r="A120" s="45">
        <f>IF(F120&lt;&gt;"",1+MAX($A$5:A119),"")</f>
        <v>75</v>
      </c>
      <c r="B120" s="106"/>
      <c r="C120" s="38" t="s">
        <v>142</v>
      </c>
      <c r="D120" s="55">
        <v>176.87</v>
      </c>
      <c r="E120" s="56">
        <v>0.1</v>
      </c>
      <c r="F120" s="57">
        <f t="shared" si="98"/>
        <v>194.55700000000002</v>
      </c>
      <c r="G120" s="58" t="s">
        <v>4</v>
      </c>
      <c r="H120" s="35">
        <v>4.3296890000000001</v>
      </c>
      <c r="I120" s="35">
        <f t="shared" si="103"/>
        <v>842.37130277300014</v>
      </c>
      <c r="J120" s="43">
        <v>4.1359999999999994E-2</v>
      </c>
      <c r="K120" s="24">
        <f t="shared" si="104"/>
        <v>34</v>
      </c>
      <c r="L120" s="44">
        <f t="shared" si="105"/>
        <v>8.0468775199999989</v>
      </c>
      <c r="M120" s="27">
        <f t="shared" si="106"/>
        <v>273.59383567999998</v>
      </c>
      <c r="N120" s="27">
        <f t="shared" si="107"/>
        <v>1115.9651384530002</v>
      </c>
      <c r="O120" s="76"/>
      <c r="P120" s="59"/>
      <c r="Q120" s="59"/>
      <c r="T120" s="61"/>
    </row>
    <row r="121" spans="1:20" s="60" customFormat="1" x14ac:dyDescent="0.3">
      <c r="A121" s="45" t="str">
        <f>IF(F121&lt;&gt;"",1+MAX($A$5:A120),"")</f>
        <v/>
      </c>
      <c r="B121" s="91"/>
      <c r="C121" s="38"/>
      <c r="D121" s="55"/>
      <c r="E121" s="56"/>
      <c r="F121" s="57"/>
      <c r="G121" s="58"/>
      <c r="H121" s="35"/>
      <c r="I121" s="35"/>
      <c r="J121" s="43"/>
      <c r="K121" s="24"/>
      <c r="L121" s="44"/>
      <c r="M121" s="27"/>
      <c r="N121" s="27"/>
      <c r="O121" s="76"/>
      <c r="P121" s="59"/>
      <c r="Q121" s="59"/>
      <c r="T121" s="61"/>
    </row>
    <row r="122" spans="1:20" s="3" customFormat="1" x14ac:dyDescent="0.25">
      <c r="A122" s="31"/>
      <c r="B122" s="62"/>
      <c r="C122" s="17" t="s">
        <v>24</v>
      </c>
      <c r="D122" s="25"/>
      <c r="E122" s="8"/>
      <c r="F122" s="28"/>
      <c r="G122" s="8"/>
      <c r="H122" s="8"/>
      <c r="I122" s="8"/>
      <c r="J122" s="8"/>
      <c r="K122" s="8"/>
      <c r="L122" s="8"/>
      <c r="M122" s="22"/>
      <c r="N122" s="8"/>
      <c r="O122" s="9">
        <f>SUM(N124:N142)</f>
        <v>41101.657980000004</v>
      </c>
      <c r="P122" s="59"/>
      <c r="Q122" s="2"/>
      <c r="T122" s="16"/>
    </row>
    <row r="123" spans="1:20" s="3" customFormat="1" x14ac:dyDescent="0.25">
      <c r="A123" s="45" t="str">
        <f>IF(F123&lt;&gt;"",1+MAX($A$5:A122),"")</f>
        <v/>
      </c>
      <c r="B123" s="84"/>
      <c r="C123" s="18"/>
      <c r="D123" s="19"/>
      <c r="E123" s="20"/>
      <c r="F123" s="29"/>
      <c r="G123" s="21"/>
      <c r="H123" s="21"/>
      <c r="I123" s="21"/>
      <c r="J123" s="21"/>
      <c r="K123" s="21"/>
      <c r="L123" s="21"/>
      <c r="M123" s="40" t="s">
        <v>21</v>
      </c>
      <c r="N123" s="41">
        <v>38</v>
      </c>
      <c r="O123" s="76"/>
      <c r="P123" s="59"/>
      <c r="Q123" s="2"/>
      <c r="T123" s="16"/>
    </row>
    <row r="124" spans="1:20" s="60" customFormat="1" x14ac:dyDescent="0.3">
      <c r="A124" s="45" t="str">
        <f>IF(F124&lt;&gt;"",1+MAX($A$5:A123),"")</f>
        <v/>
      </c>
      <c r="B124" s="91"/>
      <c r="C124" s="86" t="s">
        <v>48</v>
      </c>
      <c r="D124" s="55"/>
      <c r="E124" s="56"/>
      <c r="F124" s="57"/>
      <c r="G124" s="58"/>
      <c r="H124" s="35"/>
      <c r="I124" s="35"/>
      <c r="J124" s="43"/>
      <c r="K124" s="24"/>
      <c r="L124" s="44"/>
      <c r="M124" s="27"/>
      <c r="N124" s="27"/>
      <c r="O124" s="76"/>
      <c r="P124" s="59"/>
      <c r="Q124" s="59"/>
      <c r="T124" s="61"/>
    </row>
    <row r="125" spans="1:20" s="60" customFormat="1" x14ac:dyDescent="0.3">
      <c r="A125" s="45">
        <f>IF(F125&lt;&gt;"",1+MAX($A$5:A124),"")</f>
        <v>76</v>
      </c>
      <c r="B125" s="106" t="s">
        <v>164</v>
      </c>
      <c r="C125" s="38" t="s">
        <v>163</v>
      </c>
      <c r="D125" s="55">
        <v>11</v>
      </c>
      <c r="E125" s="56">
        <v>0</v>
      </c>
      <c r="F125" s="57">
        <f t="shared" ref="F125:F132" si="108">(1+E125)*D125</f>
        <v>11</v>
      </c>
      <c r="G125" s="58" t="s">
        <v>3</v>
      </c>
      <c r="H125" s="35">
        <v>837.3904</v>
      </c>
      <c r="I125" s="35">
        <f t="shared" ref="I125" si="109">H125*F125</f>
        <v>9211.2944000000007</v>
      </c>
      <c r="J125" s="43">
        <v>1.88</v>
      </c>
      <c r="K125" s="24">
        <f>$N$123</f>
        <v>38</v>
      </c>
      <c r="L125" s="44">
        <f t="shared" ref="L125" si="110">J125*F125</f>
        <v>20.68</v>
      </c>
      <c r="M125" s="27">
        <f t="shared" ref="M125" si="111">L125*K125</f>
        <v>785.84</v>
      </c>
      <c r="N125" s="27">
        <f t="shared" ref="N125" si="112">M125+I125</f>
        <v>9997.1344000000008</v>
      </c>
      <c r="O125" s="76"/>
      <c r="P125" s="59"/>
      <c r="Q125" s="59"/>
      <c r="T125" s="61"/>
    </row>
    <row r="126" spans="1:20" s="60" customFormat="1" x14ac:dyDescent="0.3">
      <c r="A126" s="45">
        <f>IF(F126&lt;&gt;"",1+MAX($A$5:A125),"")</f>
        <v>77</v>
      </c>
      <c r="B126" s="106"/>
      <c r="C126" s="38" t="s">
        <v>162</v>
      </c>
      <c r="D126" s="55">
        <v>2</v>
      </c>
      <c r="E126" s="56">
        <v>0</v>
      </c>
      <c r="F126" s="57">
        <f t="shared" si="108"/>
        <v>2</v>
      </c>
      <c r="G126" s="58" t="s">
        <v>3</v>
      </c>
      <c r="H126" s="35">
        <v>870.21991000000003</v>
      </c>
      <c r="I126" s="35">
        <f t="shared" ref="I126:I132" si="113">H126*F126</f>
        <v>1740.4398200000001</v>
      </c>
      <c r="J126" s="43">
        <v>1.88</v>
      </c>
      <c r="K126" s="24">
        <f t="shared" ref="K126:K132" si="114">$N$123</f>
        <v>38</v>
      </c>
      <c r="L126" s="44">
        <f t="shared" ref="L126:L132" si="115">J126*F126</f>
        <v>3.76</v>
      </c>
      <c r="M126" s="27">
        <f t="shared" ref="M126:M132" si="116">L126*K126</f>
        <v>142.88</v>
      </c>
      <c r="N126" s="27">
        <f t="shared" ref="N126:N132" si="117">M126+I126</f>
        <v>1883.3198200000002</v>
      </c>
      <c r="O126" s="76"/>
      <c r="P126" s="59"/>
      <c r="Q126" s="59"/>
      <c r="T126" s="61"/>
    </row>
    <row r="127" spans="1:20" s="60" customFormat="1" x14ac:dyDescent="0.3">
      <c r="A127" s="45">
        <f>IF(F127&lt;&gt;"",1+MAX($A$5:A126),"")</f>
        <v>78</v>
      </c>
      <c r="B127" s="106"/>
      <c r="C127" s="38" t="s">
        <v>161</v>
      </c>
      <c r="D127" s="55">
        <v>4</v>
      </c>
      <c r="E127" s="56">
        <v>0</v>
      </c>
      <c r="F127" s="57">
        <f t="shared" si="108"/>
        <v>4</v>
      </c>
      <c r="G127" s="58" t="s">
        <v>3</v>
      </c>
      <c r="H127" s="35">
        <v>894.48519999999996</v>
      </c>
      <c r="I127" s="35">
        <f t="shared" si="113"/>
        <v>3577.9407999999999</v>
      </c>
      <c r="J127" s="43">
        <v>1.88</v>
      </c>
      <c r="K127" s="24">
        <f t="shared" si="114"/>
        <v>38</v>
      </c>
      <c r="L127" s="44">
        <f t="shared" si="115"/>
        <v>7.52</v>
      </c>
      <c r="M127" s="27">
        <f t="shared" si="116"/>
        <v>285.76</v>
      </c>
      <c r="N127" s="27">
        <f t="shared" si="117"/>
        <v>3863.7007999999996</v>
      </c>
      <c r="O127" s="76"/>
      <c r="P127" s="59"/>
      <c r="Q127" s="59"/>
      <c r="T127" s="61"/>
    </row>
    <row r="128" spans="1:20" s="60" customFormat="1" x14ac:dyDescent="0.3">
      <c r="A128" s="45">
        <f>IF(F128&lt;&gt;"",1+MAX($A$5:A127),"")</f>
        <v>79</v>
      </c>
      <c r="B128" s="106"/>
      <c r="C128" s="38" t="s">
        <v>160</v>
      </c>
      <c r="D128" s="55">
        <v>3</v>
      </c>
      <c r="E128" s="56">
        <v>0</v>
      </c>
      <c r="F128" s="57">
        <f t="shared" si="108"/>
        <v>3</v>
      </c>
      <c r="G128" s="58" t="s">
        <v>3</v>
      </c>
      <c r="H128" s="35">
        <v>992.49793999999986</v>
      </c>
      <c r="I128" s="35">
        <f t="shared" si="113"/>
        <v>2977.4938199999997</v>
      </c>
      <c r="J128" s="43">
        <v>1.88</v>
      </c>
      <c r="K128" s="24">
        <f t="shared" si="114"/>
        <v>38</v>
      </c>
      <c r="L128" s="44">
        <f t="shared" si="115"/>
        <v>5.64</v>
      </c>
      <c r="M128" s="27">
        <f t="shared" si="116"/>
        <v>214.32</v>
      </c>
      <c r="N128" s="27">
        <f t="shared" si="117"/>
        <v>3191.8138199999999</v>
      </c>
      <c r="O128" s="76"/>
      <c r="P128" s="59"/>
      <c r="Q128" s="59"/>
      <c r="T128" s="61"/>
    </row>
    <row r="129" spans="1:20" s="60" customFormat="1" x14ac:dyDescent="0.3">
      <c r="A129" s="45">
        <f>IF(F129&lt;&gt;"",1+MAX($A$5:A128),"")</f>
        <v>80</v>
      </c>
      <c r="B129" s="106"/>
      <c r="C129" s="38" t="s">
        <v>159</v>
      </c>
      <c r="D129" s="55">
        <v>1</v>
      </c>
      <c r="E129" s="56">
        <v>0</v>
      </c>
      <c r="F129" s="57">
        <f t="shared" si="108"/>
        <v>1</v>
      </c>
      <c r="G129" s="58" t="s">
        <v>3</v>
      </c>
      <c r="H129" s="35">
        <v>992.49793999999986</v>
      </c>
      <c r="I129" s="35">
        <f t="shared" si="113"/>
        <v>992.49793999999986</v>
      </c>
      <c r="J129" s="43">
        <v>1.88</v>
      </c>
      <c r="K129" s="24">
        <f t="shared" si="114"/>
        <v>38</v>
      </c>
      <c r="L129" s="44">
        <f t="shared" si="115"/>
        <v>1.88</v>
      </c>
      <c r="M129" s="27">
        <f t="shared" si="116"/>
        <v>71.44</v>
      </c>
      <c r="N129" s="27">
        <f t="shared" si="117"/>
        <v>1063.9379399999998</v>
      </c>
      <c r="O129" s="76"/>
      <c r="P129" s="59"/>
      <c r="Q129" s="59"/>
      <c r="T129" s="61"/>
    </row>
    <row r="130" spans="1:20" s="60" customFormat="1" x14ac:dyDescent="0.3">
      <c r="A130" s="45">
        <f>IF(F130&lt;&gt;"",1+MAX($A$5:A129),"")</f>
        <v>81</v>
      </c>
      <c r="B130" s="106"/>
      <c r="C130" s="38" t="s">
        <v>158</v>
      </c>
      <c r="D130" s="55">
        <v>1</v>
      </c>
      <c r="E130" s="56">
        <v>0</v>
      </c>
      <c r="F130" s="57">
        <f t="shared" si="108"/>
        <v>1</v>
      </c>
      <c r="G130" s="58" t="s">
        <v>3</v>
      </c>
      <c r="H130" s="35">
        <v>1122.8643999999999</v>
      </c>
      <c r="I130" s="35">
        <f t="shared" si="113"/>
        <v>1122.8643999999999</v>
      </c>
      <c r="J130" s="43">
        <v>1.88</v>
      </c>
      <c r="K130" s="24">
        <f t="shared" si="114"/>
        <v>38</v>
      </c>
      <c r="L130" s="44">
        <f t="shared" si="115"/>
        <v>1.88</v>
      </c>
      <c r="M130" s="27">
        <f t="shared" si="116"/>
        <v>71.44</v>
      </c>
      <c r="N130" s="27">
        <f t="shared" si="117"/>
        <v>1194.3044</v>
      </c>
      <c r="O130" s="76"/>
      <c r="P130" s="59"/>
      <c r="Q130" s="59"/>
      <c r="T130" s="61"/>
    </row>
    <row r="131" spans="1:20" s="60" customFormat="1" x14ac:dyDescent="0.3">
      <c r="A131" s="45">
        <f>IF(F131&lt;&gt;"",1+MAX($A$5:A130),"")</f>
        <v>82</v>
      </c>
      <c r="B131" s="106"/>
      <c r="C131" s="38" t="s">
        <v>157</v>
      </c>
      <c r="D131" s="55">
        <v>2</v>
      </c>
      <c r="E131" s="56">
        <v>0</v>
      </c>
      <c r="F131" s="57">
        <f t="shared" si="108"/>
        <v>2</v>
      </c>
      <c r="G131" s="58" t="s">
        <v>3</v>
      </c>
      <c r="H131" s="35">
        <v>3083.1192000000001</v>
      </c>
      <c r="I131" s="35">
        <f t="shared" si="113"/>
        <v>6166.2384000000002</v>
      </c>
      <c r="J131" s="43">
        <v>5.64</v>
      </c>
      <c r="K131" s="24">
        <f t="shared" si="114"/>
        <v>38</v>
      </c>
      <c r="L131" s="44">
        <f t="shared" si="115"/>
        <v>11.28</v>
      </c>
      <c r="M131" s="27">
        <f t="shared" si="116"/>
        <v>428.64</v>
      </c>
      <c r="N131" s="27">
        <f t="shared" si="117"/>
        <v>6594.8784000000005</v>
      </c>
      <c r="O131" s="76"/>
      <c r="P131" s="59"/>
      <c r="Q131" s="59"/>
      <c r="T131" s="61"/>
    </row>
    <row r="132" spans="1:20" s="60" customFormat="1" x14ac:dyDescent="0.3">
      <c r="A132" s="45">
        <f>IF(F132&lt;&gt;"",1+MAX($A$5:A131),"")</f>
        <v>83</v>
      </c>
      <c r="B132" s="106"/>
      <c r="C132" s="38" t="s">
        <v>156</v>
      </c>
      <c r="D132" s="55">
        <v>1</v>
      </c>
      <c r="E132" s="56">
        <v>0</v>
      </c>
      <c r="F132" s="57">
        <f t="shared" si="108"/>
        <v>1</v>
      </c>
      <c r="G132" s="58" t="s">
        <v>3</v>
      </c>
      <c r="H132" s="35">
        <v>1579.6227999999999</v>
      </c>
      <c r="I132" s="35">
        <f t="shared" si="113"/>
        <v>1579.6227999999999</v>
      </c>
      <c r="J132" s="43">
        <v>3.9855999999999998</v>
      </c>
      <c r="K132" s="24">
        <f t="shared" si="114"/>
        <v>38</v>
      </c>
      <c r="L132" s="44">
        <f t="shared" si="115"/>
        <v>3.9855999999999998</v>
      </c>
      <c r="M132" s="27">
        <f t="shared" si="116"/>
        <v>151.4528</v>
      </c>
      <c r="N132" s="27">
        <f t="shared" si="117"/>
        <v>1731.0755999999999</v>
      </c>
      <c r="O132" s="76"/>
      <c r="P132" s="59"/>
      <c r="Q132" s="59"/>
      <c r="T132" s="61"/>
    </row>
    <row r="133" spans="1:20" s="60" customFormat="1" x14ac:dyDescent="0.3">
      <c r="A133" s="45" t="str">
        <f>IF(F133&lt;&gt;"",1+MAX($A$5:A132),"")</f>
        <v/>
      </c>
      <c r="B133" s="106"/>
      <c r="C133" s="38"/>
      <c r="D133" s="55"/>
      <c r="E133" s="56"/>
      <c r="F133" s="57"/>
      <c r="G133" s="58"/>
      <c r="H133" s="35"/>
      <c r="I133" s="35"/>
      <c r="J133" s="43"/>
      <c r="K133" s="24"/>
      <c r="L133" s="44"/>
      <c r="M133" s="27"/>
      <c r="N133" s="27"/>
      <c r="O133" s="76"/>
      <c r="P133" s="59"/>
      <c r="Q133" s="59"/>
      <c r="T133" s="61"/>
    </row>
    <row r="134" spans="1:20" s="60" customFormat="1" x14ac:dyDescent="0.3">
      <c r="A134" s="45" t="str">
        <f>IF(F134&lt;&gt;"",1+MAX($A$5:A133),"")</f>
        <v/>
      </c>
      <c r="B134" s="106"/>
      <c r="C134" s="86" t="s">
        <v>47</v>
      </c>
      <c r="D134" s="55"/>
      <c r="E134" s="56"/>
      <c r="F134" s="57"/>
      <c r="G134" s="58"/>
      <c r="H134" s="35"/>
      <c r="I134" s="35"/>
      <c r="J134" s="43"/>
      <c r="K134" s="24"/>
      <c r="L134" s="44"/>
      <c r="M134" s="27"/>
      <c r="N134" s="27"/>
      <c r="O134" s="76"/>
      <c r="P134" s="59"/>
      <c r="Q134" s="59"/>
      <c r="T134" s="61"/>
    </row>
    <row r="135" spans="1:20" s="60" customFormat="1" x14ac:dyDescent="0.3">
      <c r="A135" s="45">
        <f>IF(F135&lt;&gt;"",1+MAX($A$5:A134),"")</f>
        <v>84</v>
      </c>
      <c r="B135" s="106"/>
      <c r="C135" s="38" t="s">
        <v>155</v>
      </c>
      <c r="D135" s="55">
        <v>1</v>
      </c>
      <c r="E135" s="56">
        <v>0</v>
      </c>
      <c r="F135" s="57">
        <f t="shared" ref="F135:F141" si="118">(1+E135)*D135</f>
        <v>1</v>
      </c>
      <c r="G135" s="58" t="s">
        <v>3</v>
      </c>
      <c r="H135" s="35">
        <v>171.28440000000001</v>
      </c>
      <c r="I135" s="35">
        <f t="shared" ref="I135:I141" si="119">H135*F135</f>
        <v>171.28440000000001</v>
      </c>
      <c r="J135" s="43">
        <v>1.3159999999999998</v>
      </c>
      <c r="K135" s="24">
        <f t="shared" ref="K135:K141" si="120">$N$123</f>
        <v>38</v>
      </c>
      <c r="L135" s="44">
        <f t="shared" ref="L135:L141" si="121">J135*F135</f>
        <v>1.3159999999999998</v>
      </c>
      <c r="M135" s="27">
        <f t="shared" ref="M135:M141" si="122">L135*K135</f>
        <v>50.007999999999996</v>
      </c>
      <c r="N135" s="27">
        <f t="shared" ref="N135:N141" si="123">M135+I135</f>
        <v>221.29239999999999</v>
      </c>
      <c r="O135" s="76"/>
      <c r="P135" s="59"/>
      <c r="Q135" s="59"/>
      <c r="T135" s="61"/>
    </row>
    <row r="136" spans="1:20" s="60" customFormat="1" x14ac:dyDescent="0.3">
      <c r="A136" s="45">
        <f>IF(F136&lt;&gt;"",1+MAX($A$5:A135),"")</f>
        <v>85</v>
      </c>
      <c r="B136" s="106"/>
      <c r="C136" s="38" t="s">
        <v>154</v>
      </c>
      <c r="D136" s="55">
        <v>2</v>
      </c>
      <c r="E136" s="56">
        <v>0</v>
      </c>
      <c r="F136" s="57">
        <f t="shared" si="118"/>
        <v>2</v>
      </c>
      <c r="G136" s="58" t="s">
        <v>3</v>
      </c>
      <c r="H136" s="35">
        <v>609.01119999999992</v>
      </c>
      <c r="I136" s="35">
        <f t="shared" si="119"/>
        <v>1218.0223999999998</v>
      </c>
      <c r="J136" s="43">
        <v>2.2935999999999996</v>
      </c>
      <c r="K136" s="24">
        <f t="shared" si="120"/>
        <v>38</v>
      </c>
      <c r="L136" s="44">
        <f t="shared" si="121"/>
        <v>4.5871999999999993</v>
      </c>
      <c r="M136" s="27">
        <f t="shared" si="122"/>
        <v>174.31359999999998</v>
      </c>
      <c r="N136" s="27">
        <f t="shared" si="123"/>
        <v>1392.3359999999998</v>
      </c>
      <c r="O136" s="76"/>
      <c r="P136" s="59"/>
      <c r="Q136" s="59"/>
      <c r="T136" s="61"/>
    </row>
    <row r="137" spans="1:20" s="60" customFormat="1" x14ac:dyDescent="0.3">
      <c r="A137" s="45">
        <f>IF(F137&lt;&gt;"",1+MAX($A$5:A136),"")</f>
        <v>86</v>
      </c>
      <c r="B137" s="106"/>
      <c r="C137" s="38" t="s">
        <v>153</v>
      </c>
      <c r="D137" s="55">
        <v>5</v>
      </c>
      <c r="E137" s="56">
        <v>0</v>
      </c>
      <c r="F137" s="57">
        <f t="shared" si="118"/>
        <v>5</v>
      </c>
      <c r="G137" s="58" t="s">
        <v>3</v>
      </c>
      <c r="H137" s="35">
        <v>609.01119999999992</v>
      </c>
      <c r="I137" s="35">
        <f t="shared" si="119"/>
        <v>3045.0559999999996</v>
      </c>
      <c r="J137" s="43">
        <v>2.2935999999999996</v>
      </c>
      <c r="K137" s="24">
        <f t="shared" si="120"/>
        <v>38</v>
      </c>
      <c r="L137" s="44">
        <f t="shared" si="121"/>
        <v>11.467999999999998</v>
      </c>
      <c r="M137" s="27">
        <f t="shared" si="122"/>
        <v>435.78399999999993</v>
      </c>
      <c r="N137" s="27">
        <f t="shared" si="123"/>
        <v>3480.8399999999997</v>
      </c>
      <c r="O137" s="76"/>
      <c r="P137" s="59"/>
      <c r="Q137" s="59"/>
      <c r="T137" s="61"/>
    </row>
    <row r="138" spans="1:20" s="60" customFormat="1" x14ac:dyDescent="0.3">
      <c r="A138" s="45">
        <f>IF(F138&lt;&gt;"",1+MAX($A$5:A137),"")</f>
        <v>87</v>
      </c>
      <c r="B138" s="106"/>
      <c r="C138" s="38" t="s">
        <v>152</v>
      </c>
      <c r="D138" s="55">
        <v>1</v>
      </c>
      <c r="E138" s="56">
        <v>0</v>
      </c>
      <c r="F138" s="57">
        <f t="shared" si="118"/>
        <v>1</v>
      </c>
      <c r="G138" s="58" t="s">
        <v>3</v>
      </c>
      <c r="H138" s="35">
        <v>837.3904</v>
      </c>
      <c r="I138" s="35">
        <f t="shared" si="119"/>
        <v>837.3904</v>
      </c>
      <c r="J138" s="43">
        <v>2.82</v>
      </c>
      <c r="K138" s="24">
        <f t="shared" si="120"/>
        <v>38</v>
      </c>
      <c r="L138" s="44">
        <f t="shared" si="121"/>
        <v>2.82</v>
      </c>
      <c r="M138" s="27">
        <f t="shared" si="122"/>
        <v>107.16</v>
      </c>
      <c r="N138" s="27">
        <f t="shared" si="123"/>
        <v>944.55039999999997</v>
      </c>
      <c r="O138" s="76"/>
      <c r="P138" s="59"/>
      <c r="Q138" s="59"/>
      <c r="T138" s="61"/>
    </row>
    <row r="139" spans="1:20" s="60" customFormat="1" x14ac:dyDescent="0.3">
      <c r="A139" s="45">
        <f>IF(F139&lt;&gt;"",1+MAX($A$5:A138),"")</f>
        <v>88</v>
      </c>
      <c r="B139" s="106"/>
      <c r="C139" s="38" t="s">
        <v>151</v>
      </c>
      <c r="D139" s="55">
        <v>2</v>
      </c>
      <c r="E139" s="56">
        <v>0</v>
      </c>
      <c r="F139" s="57">
        <f t="shared" si="118"/>
        <v>2</v>
      </c>
      <c r="G139" s="58" t="s">
        <v>3</v>
      </c>
      <c r="H139" s="35">
        <v>1046.7379999999998</v>
      </c>
      <c r="I139" s="35">
        <f t="shared" si="119"/>
        <v>2093.4759999999997</v>
      </c>
      <c r="J139" s="43">
        <v>3.6349799999999997</v>
      </c>
      <c r="K139" s="24">
        <f t="shared" si="120"/>
        <v>38</v>
      </c>
      <c r="L139" s="44">
        <f t="shared" si="121"/>
        <v>7.2699599999999993</v>
      </c>
      <c r="M139" s="27">
        <f t="shared" si="122"/>
        <v>276.25847999999996</v>
      </c>
      <c r="N139" s="27">
        <f t="shared" si="123"/>
        <v>2369.7344799999996</v>
      </c>
      <c r="O139" s="76"/>
      <c r="P139" s="59"/>
      <c r="Q139" s="59"/>
      <c r="T139" s="61"/>
    </row>
    <row r="140" spans="1:20" s="60" customFormat="1" x14ac:dyDescent="0.3">
      <c r="A140" s="45">
        <f>IF(F140&lt;&gt;"",1+MAX($A$5:A139),"")</f>
        <v>89</v>
      </c>
      <c r="B140" s="106"/>
      <c r="C140" s="38" t="s">
        <v>150</v>
      </c>
      <c r="D140" s="55">
        <v>1</v>
      </c>
      <c r="E140" s="56">
        <v>0</v>
      </c>
      <c r="F140" s="57">
        <f t="shared" si="118"/>
        <v>1</v>
      </c>
      <c r="G140" s="58" t="s">
        <v>3</v>
      </c>
      <c r="H140" s="35">
        <v>1256.0856000000001</v>
      </c>
      <c r="I140" s="35">
        <f t="shared" si="119"/>
        <v>1256.0856000000001</v>
      </c>
      <c r="J140" s="43">
        <v>4.3803999999999998</v>
      </c>
      <c r="K140" s="24">
        <f t="shared" si="120"/>
        <v>38</v>
      </c>
      <c r="L140" s="44">
        <f t="shared" si="121"/>
        <v>4.3803999999999998</v>
      </c>
      <c r="M140" s="27">
        <f t="shared" si="122"/>
        <v>166.45519999999999</v>
      </c>
      <c r="N140" s="27">
        <f t="shared" si="123"/>
        <v>1422.5408000000002</v>
      </c>
      <c r="O140" s="76"/>
      <c r="P140" s="59"/>
      <c r="Q140" s="59"/>
      <c r="T140" s="61"/>
    </row>
    <row r="141" spans="1:20" s="60" customFormat="1" x14ac:dyDescent="0.3">
      <c r="A141" s="45">
        <f>IF(F141&lt;&gt;"",1+MAX($A$5:A140),"")</f>
        <v>90</v>
      </c>
      <c r="B141" s="106"/>
      <c r="C141" s="38" t="s">
        <v>149</v>
      </c>
      <c r="D141" s="55">
        <v>1</v>
      </c>
      <c r="E141" s="56">
        <v>0</v>
      </c>
      <c r="F141" s="57">
        <f t="shared" si="118"/>
        <v>1</v>
      </c>
      <c r="G141" s="58" t="s">
        <v>3</v>
      </c>
      <c r="H141" s="35">
        <v>1507.3027199999999</v>
      </c>
      <c r="I141" s="35">
        <f t="shared" si="119"/>
        <v>1507.3027199999999</v>
      </c>
      <c r="J141" s="43">
        <v>6.3919999999999995</v>
      </c>
      <c r="K141" s="24">
        <f t="shared" si="120"/>
        <v>38</v>
      </c>
      <c r="L141" s="44">
        <f t="shared" si="121"/>
        <v>6.3919999999999995</v>
      </c>
      <c r="M141" s="27">
        <f t="shared" si="122"/>
        <v>242.89599999999999</v>
      </c>
      <c r="N141" s="27">
        <f t="shared" si="123"/>
        <v>1750.1987199999999</v>
      </c>
      <c r="O141" s="76"/>
      <c r="P141" s="59"/>
      <c r="Q141" s="59"/>
      <c r="T141" s="61"/>
    </row>
    <row r="142" spans="1:20" s="60" customFormat="1" x14ac:dyDescent="0.3">
      <c r="A142" s="45" t="str">
        <f>IF(F142&lt;&gt;"",1+MAX($A$5:A141),"")</f>
        <v/>
      </c>
      <c r="B142" s="91"/>
      <c r="C142" s="38"/>
      <c r="D142" s="55"/>
      <c r="E142" s="56"/>
      <c r="F142" s="57"/>
      <c r="G142" s="58"/>
      <c r="H142" s="35"/>
      <c r="I142" s="35"/>
      <c r="J142" s="43"/>
      <c r="K142" s="24"/>
      <c r="L142" s="44"/>
      <c r="M142" s="27"/>
      <c r="N142" s="27"/>
      <c r="O142" s="76"/>
      <c r="P142" s="59"/>
      <c r="Q142" s="59"/>
      <c r="T142" s="61"/>
    </row>
    <row r="143" spans="1:20" s="3" customFormat="1" x14ac:dyDescent="0.25">
      <c r="A143" s="31"/>
      <c r="B143" s="62"/>
      <c r="C143" s="17" t="s">
        <v>25</v>
      </c>
      <c r="D143" s="25"/>
      <c r="E143" s="8"/>
      <c r="F143" s="28"/>
      <c r="G143" s="8"/>
      <c r="H143" s="8"/>
      <c r="I143" s="8"/>
      <c r="J143" s="8"/>
      <c r="K143" s="8"/>
      <c r="L143" s="8"/>
      <c r="M143" s="22"/>
      <c r="N143" s="8"/>
      <c r="O143" s="9">
        <f>SUM(N146:N357)</f>
        <v>182775.26173000838</v>
      </c>
      <c r="P143" s="59"/>
      <c r="Q143" s="2"/>
      <c r="T143" s="16"/>
    </row>
    <row r="144" spans="1:20" s="3" customFormat="1" x14ac:dyDescent="0.25">
      <c r="A144" s="45" t="str">
        <f>IF(F144&lt;&gt;"",1+MAX($A$5:A143),"")</f>
        <v/>
      </c>
      <c r="B144" s="84"/>
      <c r="C144" s="18"/>
      <c r="D144" s="19"/>
      <c r="E144" s="20"/>
      <c r="F144" s="29"/>
      <c r="G144" s="21"/>
      <c r="H144" s="21"/>
      <c r="I144" s="21"/>
      <c r="J144" s="21"/>
      <c r="K144" s="21"/>
      <c r="L144" s="21"/>
      <c r="M144" s="40" t="s">
        <v>21</v>
      </c>
      <c r="N144" s="41">
        <v>38</v>
      </c>
      <c r="O144" s="76"/>
      <c r="P144" s="59"/>
      <c r="Q144" s="2"/>
      <c r="T144" s="16"/>
    </row>
    <row r="145" spans="1:20" s="60" customFormat="1" x14ac:dyDescent="0.3">
      <c r="A145" s="45" t="str">
        <f>IF(F145&lt;&gt;"",1+MAX($A$5:A144),"")</f>
        <v/>
      </c>
      <c r="B145" s="91"/>
      <c r="C145" s="86" t="s">
        <v>60</v>
      </c>
      <c r="D145" s="55"/>
      <c r="E145" s="56"/>
      <c r="F145" s="57"/>
      <c r="G145" s="58"/>
      <c r="H145" s="35"/>
      <c r="I145" s="35"/>
      <c r="J145" s="43"/>
      <c r="K145" s="24"/>
      <c r="L145" s="44"/>
      <c r="M145" s="27"/>
      <c r="N145" s="27"/>
      <c r="O145" s="76"/>
      <c r="P145" s="59"/>
      <c r="Q145" s="59"/>
      <c r="T145" s="61"/>
    </row>
    <row r="146" spans="1:20" s="60" customFormat="1" x14ac:dyDescent="0.3">
      <c r="A146" s="45" t="str">
        <f>IF(F146&lt;&gt;"",1+MAX($A$5:A145),"")</f>
        <v/>
      </c>
      <c r="B146" s="106" t="s">
        <v>141</v>
      </c>
      <c r="C146" s="94" t="s">
        <v>229</v>
      </c>
      <c r="D146" s="55"/>
      <c r="E146" s="56"/>
      <c r="F146" s="57"/>
      <c r="G146" s="58"/>
      <c r="H146" s="35"/>
      <c r="I146" s="35"/>
      <c r="J146" s="43"/>
      <c r="K146" s="24"/>
      <c r="L146" s="44"/>
      <c r="M146" s="27"/>
      <c r="N146" s="27"/>
      <c r="O146" s="76"/>
      <c r="P146" s="59"/>
      <c r="Q146" s="59"/>
      <c r="T146" s="61"/>
    </row>
    <row r="147" spans="1:20" s="60" customFormat="1" x14ac:dyDescent="0.3">
      <c r="A147" s="45">
        <f>IF(F147&lt;&gt;"",1+MAX($A$5:A146),"")</f>
        <v>91</v>
      </c>
      <c r="B147" s="106"/>
      <c r="C147" s="38" t="s">
        <v>224</v>
      </c>
      <c r="D147" s="55">
        <v>2923</v>
      </c>
      <c r="E147" s="56">
        <v>0.1</v>
      </c>
      <c r="F147" s="57">
        <f>(1+E147)*D147</f>
        <v>3215.3</v>
      </c>
      <c r="G147" s="58" t="s">
        <v>5</v>
      </c>
      <c r="H147" s="35">
        <v>1.1932813199999999</v>
      </c>
      <c r="I147" s="35">
        <f t="shared" ref="I147" si="124">H147*F147</f>
        <v>3836.7574281959996</v>
      </c>
      <c r="J147" s="43">
        <v>2.5943999999999998E-2</v>
      </c>
      <c r="K147" s="24">
        <f>$N$144</f>
        <v>38</v>
      </c>
      <c r="L147" s="44">
        <f t="shared" ref="L147" si="125">J147*F147</f>
        <v>83.417743200000004</v>
      </c>
      <c r="M147" s="27">
        <f t="shared" ref="M147" si="126">L147*K147</f>
        <v>3169.8742416</v>
      </c>
      <c r="N147" s="27">
        <f t="shared" ref="N147" si="127">M147+I147</f>
        <v>7006.6316697959992</v>
      </c>
      <c r="O147" s="76"/>
      <c r="P147" s="59"/>
      <c r="Q147" s="59"/>
      <c r="T147" s="61"/>
    </row>
    <row r="148" spans="1:20" s="60" customFormat="1" x14ac:dyDescent="0.3">
      <c r="A148" s="45" t="str">
        <f>IF(F148&lt;&gt;"",1+MAX($A$5:A147),"")</f>
        <v/>
      </c>
      <c r="B148" s="106"/>
      <c r="C148" s="92" t="s">
        <v>57</v>
      </c>
      <c r="D148" s="55">
        <f>ROUNDUP(F147/32,0)</f>
        <v>101</v>
      </c>
      <c r="E148" s="56"/>
      <c r="F148" s="57"/>
      <c r="G148" s="58"/>
      <c r="H148" s="35"/>
      <c r="I148" s="35"/>
      <c r="J148" s="43"/>
      <c r="K148" s="24"/>
      <c r="L148" s="44"/>
      <c r="M148" s="27"/>
      <c r="N148" s="27"/>
      <c r="O148" s="76"/>
      <c r="P148" s="59"/>
      <c r="Q148" s="59"/>
      <c r="T148" s="61"/>
    </row>
    <row r="149" spans="1:20" s="60" customFormat="1" x14ac:dyDescent="0.3">
      <c r="A149" s="45" t="str">
        <f>IF(F149&lt;&gt;"",1+MAX($A$5:A148),"")</f>
        <v/>
      </c>
      <c r="B149" s="106"/>
      <c r="C149" s="92" t="s">
        <v>56</v>
      </c>
      <c r="D149" s="55">
        <f>D148*48</f>
        <v>4848</v>
      </c>
      <c r="E149" s="56"/>
      <c r="F149" s="57"/>
      <c r="G149" s="58"/>
      <c r="H149" s="35"/>
      <c r="I149" s="35"/>
      <c r="J149" s="43"/>
      <c r="K149" s="24"/>
      <c r="L149" s="44"/>
      <c r="M149" s="27"/>
      <c r="N149" s="27"/>
      <c r="O149" s="76"/>
      <c r="P149" s="59"/>
      <c r="Q149" s="59"/>
      <c r="T149" s="61"/>
    </row>
    <row r="150" spans="1:20" s="60" customFormat="1" x14ac:dyDescent="0.3">
      <c r="A150" s="45" t="str">
        <f>IF(F150&lt;&gt;"",1+MAX($A$5:A149),"")</f>
        <v/>
      </c>
      <c r="B150" s="106"/>
      <c r="C150" s="92" t="s">
        <v>55</v>
      </c>
      <c r="D150" s="55">
        <f>D148</f>
        <v>101</v>
      </c>
      <c r="E150" s="56"/>
      <c r="F150" s="57"/>
      <c r="G150" s="58"/>
      <c r="H150" s="35"/>
      <c r="I150" s="35"/>
      <c r="J150" s="43"/>
      <c r="K150" s="24"/>
      <c r="L150" s="44"/>
      <c r="M150" s="27"/>
      <c r="N150" s="27"/>
      <c r="O150" s="76"/>
      <c r="P150" s="59"/>
      <c r="Q150" s="59"/>
      <c r="T150" s="61"/>
    </row>
    <row r="151" spans="1:20" s="60" customFormat="1" x14ac:dyDescent="0.3">
      <c r="A151" s="45" t="str">
        <f>IF(F151&lt;&gt;"",1+MAX($A$5:A150),"")</f>
        <v/>
      </c>
      <c r="B151" s="106"/>
      <c r="C151" s="92" t="s">
        <v>54</v>
      </c>
      <c r="D151" s="55">
        <f>D148*14</f>
        <v>1414</v>
      </c>
      <c r="E151" s="56"/>
      <c r="F151" s="57"/>
      <c r="G151" s="58"/>
      <c r="H151" s="35"/>
      <c r="I151" s="35"/>
      <c r="J151" s="43"/>
      <c r="K151" s="24"/>
      <c r="L151" s="44"/>
      <c r="M151" s="27"/>
      <c r="N151" s="27"/>
      <c r="O151" s="76"/>
      <c r="P151" s="59"/>
      <c r="Q151" s="59"/>
      <c r="T151" s="61"/>
    </row>
    <row r="152" spans="1:20" s="60" customFormat="1" x14ac:dyDescent="0.3">
      <c r="A152" s="45">
        <f>IF(F152&lt;&gt;"",1+MAX($A$5:A151),"")</f>
        <v>92</v>
      </c>
      <c r="B152" s="106"/>
      <c r="C152" s="38" t="s">
        <v>223</v>
      </c>
      <c r="D152" s="55">
        <v>2075</v>
      </c>
      <c r="E152" s="56">
        <v>0.1</v>
      </c>
      <c r="F152" s="57">
        <f>(1+E152)*D152</f>
        <v>2282.5</v>
      </c>
      <c r="G152" s="58" t="s">
        <v>5</v>
      </c>
      <c r="H152" s="35">
        <v>1.2560856</v>
      </c>
      <c r="I152" s="35">
        <f t="shared" ref="I152" si="128">H152*F152</f>
        <v>2867.015382</v>
      </c>
      <c r="J152" s="43">
        <v>2.8199999999999996E-2</v>
      </c>
      <c r="K152" s="24">
        <f>$N$144</f>
        <v>38</v>
      </c>
      <c r="L152" s="44">
        <f t="shared" ref="L152" si="129">J152*F152</f>
        <v>64.366499999999988</v>
      </c>
      <c r="M152" s="27">
        <f t="shared" ref="M152" si="130">L152*K152</f>
        <v>2445.9269999999997</v>
      </c>
      <c r="N152" s="27">
        <f t="shared" ref="N152" si="131">M152+I152</f>
        <v>5312.9423819999993</v>
      </c>
      <c r="O152" s="76"/>
      <c r="P152" s="59"/>
      <c r="Q152" s="59"/>
      <c r="T152" s="61"/>
    </row>
    <row r="153" spans="1:20" s="60" customFormat="1" x14ac:dyDescent="0.3">
      <c r="A153" s="45" t="str">
        <f>IF(F153&lt;&gt;"",1+MAX($A$5:A152),"")</f>
        <v/>
      </c>
      <c r="B153" s="106"/>
      <c r="C153" s="92" t="s">
        <v>57</v>
      </c>
      <c r="D153" s="55">
        <f>ROUNDUP(F152/32,0)</f>
        <v>72</v>
      </c>
      <c r="E153" s="56"/>
      <c r="F153" s="57"/>
      <c r="G153" s="58"/>
      <c r="H153" s="35"/>
      <c r="I153" s="35"/>
      <c r="J153" s="43"/>
      <c r="K153" s="24"/>
      <c r="L153" s="44"/>
      <c r="M153" s="27"/>
      <c r="N153" s="27"/>
      <c r="O153" s="76"/>
      <c r="P153" s="59"/>
      <c r="Q153" s="59"/>
      <c r="T153" s="61"/>
    </row>
    <row r="154" spans="1:20" s="60" customFormat="1" x14ac:dyDescent="0.3">
      <c r="A154" s="45" t="str">
        <f>IF(F154&lt;&gt;"",1+MAX($A$5:A153),"")</f>
        <v/>
      </c>
      <c r="B154" s="106"/>
      <c r="C154" s="92" t="s">
        <v>56</v>
      </c>
      <c r="D154" s="55">
        <f>D153*48</f>
        <v>3456</v>
      </c>
      <c r="E154" s="56"/>
      <c r="F154" s="57"/>
      <c r="G154" s="58"/>
      <c r="H154" s="35"/>
      <c r="I154" s="35"/>
      <c r="J154" s="43"/>
      <c r="K154" s="24"/>
      <c r="L154" s="44"/>
      <c r="M154" s="27"/>
      <c r="N154" s="27"/>
      <c r="O154" s="76"/>
      <c r="P154" s="59"/>
      <c r="Q154" s="59"/>
      <c r="T154" s="61"/>
    </row>
    <row r="155" spans="1:20" s="60" customFormat="1" x14ac:dyDescent="0.3">
      <c r="A155" s="45" t="str">
        <f>IF(F155&lt;&gt;"",1+MAX($A$5:A154),"")</f>
        <v/>
      </c>
      <c r="B155" s="106"/>
      <c r="C155" s="92" t="s">
        <v>55</v>
      </c>
      <c r="D155" s="55">
        <f>D153</f>
        <v>72</v>
      </c>
      <c r="E155" s="56"/>
      <c r="F155" s="57"/>
      <c r="G155" s="58"/>
      <c r="H155" s="35"/>
      <c r="I155" s="35"/>
      <c r="J155" s="43"/>
      <c r="K155" s="24"/>
      <c r="L155" s="44"/>
      <c r="M155" s="27"/>
      <c r="N155" s="27"/>
      <c r="O155" s="76"/>
      <c r="P155" s="59"/>
      <c r="Q155" s="59"/>
      <c r="T155" s="61"/>
    </row>
    <row r="156" spans="1:20" s="60" customFormat="1" x14ac:dyDescent="0.3">
      <c r="A156" s="45" t="str">
        <f>IF(F156&lt;&gt;"",1+MAX($A$5:A155),"")</f>
        <v/>
      </c>
      <c r="B156" s="106"/>
      <c r="C156" s="92" t="s">
        <v>54</v>
      </c>
      <c r="D156" s="55">
        <f>D153*14</f>
        <v>1008</v>
      </c>
      <c r="E156" s="56"/>
      <c r="F156" s="57"/>
      <c r="G156" s="58"/>
      <c r="H156" s="35"/>
      <c r="I156" s="35"/>
      <c r="J156" s="43"/>
      <c r="K156" s="24"/>
      <c r="L156" s="44"/>
      <c r="M156" s="27"/>
      <c r="N156" s="27"/>
      <c r="O156" s="76"/>
      <c r="P156" s="59"/>
      <c r="Q156" s="59"/>
      <c r="T156" s="61"/>
    </row>
    <row r="157" spans="1:20" s="60" customFormat="1" x14ac:dyDescent="0.3">
      <c r="A157" s="45">
        <f>IF(F157&lt;&gt;"",1+MAX($A$5:A156),"")</f>
        <v>93</v>
      </c>
      <c r="B157" s="106"/>
      <c r="C157" s="38" t="s">
        <v>217</v>
      </c>
      <c r="D157" s="55">
        <v>483</v>
      </c>
      <c r="E157" s="56">
        <v>0.1</v>
      </c>
      <c r="F157" s="57">
        <f>(1+E157)*D157</f>
        <v>531.30000000000007</v>
      </c>
      <c r="G157" s="58" t="s">
        <v>5</v>
      </c>
      <c r="H157" s="35">
        <v>1.2560856</v>
      </c>
      <c r="I157" s="35">
        <f t="shared" ref="I157" si="132">H157*F157</f>
        <v>667.35827928000015</v>
      </c>
      <c r="J157" s="43">
        <v>2.8199999999999996E-2</v>
      </c>
      <c r="K157" s="24">
        <f>$N$144</f>
        <v>38</v>
      </c>
      <c r="L157" s="44">
        <f t="shared" ref="L157" si="133">J157*F157</f>
        <v>14.982659999999999</v>
      </c>
      <c r="M157" s="27">
        <f t="shared" ref="M157" si="134">L157*K157</f>
        <v>569.34107999999992</v>
      </c>
      <c r="N157" s="27">
        <f t="shared" ref="N157" si="135">M157+I157</f>
        <v>1236.69935928</v>
      </c>
      <c r="O157" s="76"/>
      <c r="P157" s="59"/>
      <c r="Q157" s="59"/>
      <c r="T157" s="61"/>
    </row>
    <row r="158" spans="1:20" s="60" customFormat="1" x14ac:dyDescent="0.3">
      <c r="A158" s="45" t="str">
        <f>IF(F158&lt;&gt;"",1+MAX($A$5:A157),"")</f>
        <v/>
      </c>
      <c r="B158" s="106"/>
      <c r="C158" s="92" t="s">
        <v>57</v>
      </c>
      <c r="D158" s="55">
        <f>ROUNDUP(F157/32,0)</f>
        <v>17</v>
      </c>
      <c r="E158" s="56"/>
      <c r="F158" s="57"/>
      <c r="G158" s="58"/>
      <c r="H158" s="35"/>
      <c r="I158" s="35"/>
      <c r="J158" s="43"/>
      <c r="K158" s="24"/>
      <c r="L158" s="44"/>
      <c r="M158" s="27"/>
      <c r="N158" s="27"/>
      <c r="O158" s="76"/>
      <c r="P158" s="59"/>
      <c r="Q158" s="59"/>
      <c r="T158" s="61"/>
    </row>
    <row r="159" spans="1:20" s="60" customFormat="1" x14ac:dyDescent="0.3">
      <c r="A159" s="45" t="str">
        <f>IF(F159&lt;&gt;"",1+MAX($A$5:A158),"")</f>
        <v/>
      </c>
      <c r="B159" s="106"/>
      <c r="C159" s="92" t="s">
        <v>56</v>
      </c>
      <c r="D159" s="55">
        <f>D158*48</f>
        <v>816</v>
      </c>
      <c r="E159" s="56"/>
      <c r="F159" s="57"/>
      <c r="G159" s="58"/>
      <c r="H159" s="35"/>
      <c r="I159" s="35"/>
      <c r="J159" s="43"/>
      <c r="K159" s="24"/>
      <c r="L159" s="44"/>
      <c r="M159" s="27"/>
      <c r="N159" s="27"/>
      <c r="O159" s="76"/>
      <c r="P159" s="59"/>
      <c r="Q159" s="59"/>
      <c r="T159" s="61"/>
    </row>
    <row r="160" spans="1:20" s="60" customFormat="1" x14ac:dyDescent="0.3">
      <c r="A160" s="45" t="str">
        <f>IF(F160&lt;&gt;"",1+MAX($A$5:A159),"")</f>
        <v/>
      </c>
      <c r="B160" s="106"/>
      <c r="C160" s="92" t="s">
        <v>55</v>
      </c>
      <c r="D160" s="55">
        <f>D158</f>
        <v>17</v>
      </c>
      <c r="E160" s="56"/>
      <c r="F160" s="57"/>
      <c r="G160" s="58"/>
      <c r="H160" s="35"/>
      <c r="I160" s="35"/>
      <c r="J160" s="43"/>
      <c r="K160" s="24"/>
      <c r="L160" s="44"/>
      <c r="M160" s="27"/>
      <c r="N160" s="27"/>
      <c r="O160" s="76"/>
      <c r="P160" s="59"/>
      <c r="Q160" s="59"/>
      <c r="T160" s="61"/>
    </row>
    <row r="161" spans="1:20" s="60" customFormat="1" x14ac:dyDescent="0.3">
      <c r="A161" s="45" t="str">
        <f>IF(F161&lt;&gt;"",1+MAX($A$5:A160),"")</f>
        <v/>
      </c>
      <c r="B161" s="106"/>
      <c r="C161" s="92" t="s">
        <v>54</v>
      </c>
      <c r="D161" s="55">
        <f>D158*14</f>
        <v>238</v>
      </c>
      <c r="E161" s="56"/>
      <c r="F161" s="57"/>
      <c r="G161" s="58"/>
      <c r="H161" s="35"/>
      <c r="I161" s="35"/>
      <c r="J161" s="43"/>
      <c r="K161" s="24"/>
      <c r="L161" s="44"/>
      <c r="M161" s="27"/>
      <c r="N161" s="27"/>
      <c r="O161" s="76"/>
      <c r="P161" s="59"/>
      <c r="Q161" s="59"/>
      <c r="T161" s="61"/>
    </row>
    <row r="162" spans="1:20" s="60" customFormat="1" x14ac:dyDescent="0.3">
      <c r="A162" s="45">
        <f>IF(F162&lt;&gt;"",1+MAX($A$5:A161),"")</f>
        <v>94</v>
      </c>
      <c r="B162" s="106"/>
      <c r="C162" s="38" t="s">
        <v>216</v>
      </c>
      <c r="D162" s="55">
        <v>138.44999999999999</v>
      </c>
      <c r="E162" s="56">
        <v>0.1</v>
      </c>
      <c r="F162" s="57">
        <f>(1+E162)*D162</f>
        <v>152.29499999999999</v>
      </c>
      <c r="G162" s="58" t="s">
        <v>5</v>
      </c>
      <c r="H162" s="35">
        <v>1.2560856</v>
      </c>
      <c r="I162" s="35">
        <f t="shared" ref="I162" si="136">H162*F162</f>
        <v>191.295556452</v>
      </c>
      <c r="J162" s="43">
        <v>2.8199999999999996E-2</v>
      </c>
      <c r="K162" s="24">
        <f>$N$144</f>
        <v>38</v>
      </c>
      <c r="L162" s="44">
        <f t="shared" ref="L162" si="137">J162*F162</f>
        <v>4.2947189999999988</v>
      </c>
      <c r="M162" s="27">
        <f t="shared" ref="M162" si="138">L162*K162</f>
        <v>163.19932199999997</v>
      </c>
      <c r="N162" s="27">
        <f t="shared" ref="N162" si="139">M162+I162</f>
        <v>354.49487845199997</v>
      </c>
      <c r="O162" s="76"/>
      <c r="P162" s="59"/>
      <c r="Q162" s="59"/>
      <c r="T162" s="61"/>
    </row>
    <row r="163" spans="1:20" s="60" customFormat="1" x14ac:dyDescent="0.3">
      <c r="A163" s="45" t="str">
        <f>IF(F163&lt;&gt;"",1+MAX($A$5:A162),"")</f>
        <v/>
      </c>
      <c r="B163" s="106"/>
      <c r="C163" s="92" t="s">
        <v>57</v>
      </c>
      <c r="D163" s="55">
        <f>ROUNDUP(F162/32,0)</f>
        <v>5</v>
      </c>
      <c r="E163" s="56"/>
      <c r="F163" s="57"/>
      <c r="G163" s="58"/>
      <c r="H163" s="35"/>
      <c r="I163" s="35"/>
      <c r="J163" s="43"/>
      <c r="K163" s="24"/>
      <c r="L163" s="44"/>
      <c r="M163" s="27"/>
      <c r="N163" s="27"/>
      <c r="O163" s="76"/>
      <c r="P163" s="59"/>
      <c r="Q163" s="59"/>
      <c r="T163" s="61"/>
    </row>
    <row r="164" spans="1:20" s="60" customFormat="1" x14ac:dyDescent="0.3">
      <c r="A164" s="45" t="str">
        <f>IF(F164&lt;&gt;"",1+MAX($A$5:A163),"")</f>
        <v/>
      </c>
      <c r="B164" s="106"/>
      <c r="C164" s="92" t="s">
        <v>56</v>
      </c>
      <c r="D164" s="55">
        <f>D163*48</f>
        <v>240</v>
      </c>
      <c r="E164" s="56"/>
      <c r="F164" s="57"/>
      <c r="G164" s="58"/>
      <c r="H164" s="35"/>
      <c r="I164" s="35"/>
      <c r="J164" s="43"/>
      <c r="K164" s="24"/>
      <c r="L164" s="44"/>
      <c r="M164" s="27"/>
      <c r="N164" s="27"/>
      <c r="O164" s="76"/>
      <c r="P164" s="59"/>
      <c r="Q164" s="59"/>
      <c r="T164" s="61"/>
    </row>
    <row r="165" spans="1:20" s="60" customFormat="1" x14ac:dyDescent="0.3">
      <c r="A165" s="45" t="str">
        <f>IF(F165&lt;&gt;"",1+MAX($A$5:A164),"")</f>
        <v/>
      </c>
      <c r="B165" s="106"/>
      <c r="C165" s="92" t="s">
        <v>55</v>
      </c>
      <c r="D165" s="55">
        <f>D163</f>
        <v>5</v>
      </c>
      <c r="E165" s="56"/>
      <c r="F165" s="57"/>
      <c r="G165" s="58"/>
      <c r="H165" s="35"/>
      <c r="I165" s="35"/>
      <c r="J165" s="43"/>
      <c r="K165" s="24"/>
      <c r="L165" s="44"/>
      <c r="M165" s="27"/>
      <c r="N165" s="27"/>
      <c r="O165" s="76"/>
      <c r="P165" s="59"/>
      <c r="Q165" s="59"/>
      <c r="T165" s="61"/>
    </row>
    <row r="166" spans="1:20" s="60" customFormat="1" x14ac:dyDescent="0.3">
      <c r="A166" s="45" t="str">
        <f>IF(F166&lt;&gt;"",1+MAX($A$5:A165),"")</f>
        <v/>
      </c>
      <c r="B166" s="106"/>
      <c r="C166" s="92" t="s">
        <v>54</v>
      </c>
      <c r="D166" s="55">
        <f>D163*14</f>
        <v>70</v>
      </c>
      <c r="E166" s="56"/>
      <c r="F166" s="57"/>
      <c r="G166" s="58"/>
      <c r="H166" s="35"/>
      <c r="I166" s="35"/>
      <c r="J166" s="43"/>
      <c r="K166" s="24"/>
      <c r="L166" s="44"/>
      <c r="M166" s="27"/>
      <c r="N166" s="27"/>
      <c r="O166" s="76"/>
      <c r="P166" s="59"/>
      <c r="Q166" s="59"/>
      <c r="T166" s="61"/>
    </row>
    <row r="167" spans="1:20" s="60" customFormat="1" x14ac:dyDescent="0.3">
      <c r="A167" s="45">
        <f>IF(F167&lt;&gt;"",1+MAX($A$5:A166),"")</f>
        <v>95</v>
      </c>
      <c r="B167" s="106"/>
      <c r="C167" s="38" t="s">
        <v>215</v>
      </c>
      <c r="D167" s="55">
        <v>226.55</v>
      </c>
      <c r="E167" s="56">
        <v>0.1</v>
      </c>
      <c r="F167" s="57">
        <f>(1+E167)*D167</f>
        <v>249.20500000000004</v>
      </c>
      <c r="G167" s="58" t="s">
        <v>5</v>
      </c>
      <c r="H167" s="35">
        <v>1.2560856</v>
      </c>
      <c r="I167" s="35">
        <f t="shared" ref="I167" si="140">H167*F167</f>
        <v>313.02281194800008</v>
      </c>
      <c r="J167" s="43">
        <v>2.8199999999999996E-2</v>
      </c>
      <c r="K167" s="24">
        <f>$N$144</f>
        <v>38</v>
      </c>
      <c r="L167" s="44">
        <f t="shared" ref="L167" si="141">J167*F167</f>
        <v>7.0275810000000005</v>
      </c>
      <c r="M167" s="27">
        <f t="shared" ref="M167" si="142">L167*K167</f>
        <v>267.04807800000003</v>
      </c>
      <c r="N167" s="27">
        <f t="shared" ref="N167" si="143">M167+I167</f>
        <v>580.07088994800006</v>
      </c>
      <c r="O167" s="76"/>
      <c r="P167" s="59"/>
      <c r="Q167" s="59"/>
      <c r="T167" s="61"/>
    </row>
    <row r="168" spans="1:20" s="60" customFormat="1" x14ac:dyDescent="0.3">
      <c r="A168" s="45" t="str">
        <f>IF(F168&lt;&gt;"",1+MAX($A$5:A167),"")</f>
        <v/>
      </c>
      <c r="B168" s="106"/>
      <c r="C168" s="92" t="s">
        <v>57</v>
      </c>
      <c r="D168" s="55">
        <f>ROUNDUP(F167/32,0)</f>
        <v>8</v>
      </c>
      <c r="E168" s="56"/>
      <c r="F168" s="57"/>
      <c r="G168" s="58"/>
      <c r="H168" s="35"/>
      <c r="I168" s="35"/>
      <c r="J168" s="43"/>
      <c r="K168" s="24"/>
      <c r="L168" s="44"/>
      <c r="M168" s="27"/>
      <c r="N168" s="27"/>
      <c r="O168" s="76"/>
      <c r="P168" s="59"/>
      <c r="Q168" s="59"/>
      <c r="T168" s="61"/>
    </row>
    <row r="169" spans="1:20" s="60" customFormat="1" x14ac:dyDescent="0.3">
      <c r="A169" s="45" t="str">
        <f>IF(F169&lt;&gt;"",1+MAX($A$5:A168),"")</f>
        <v/>
      </c>
      <c r="B169" s="106"/>
      <c r="C169" s="92" t="s">
        <v>56</v>
      </c>
      <c r="D169" s="55">
        <f>D168*48</f>
        <v>384</v>
      </c>
      <c r="E169" s="56"/>
      <c r="F169" s="57"/>
      <c r="G169" s="58"/>
      <c r="H169" s="35"/>
      <c r="I169" s="35"/>
      <c r="J169" s="43"/>
      <c r="K169" s="24"/>
      <c r="L169" s="44"/>
      <c r="M169" s="27"/>
      <c r="N169" s="27"/>
      <c r="O169" s="76"/>
      <c r="P169" s="59"/>
      <c r="Q169" s="59"/>
      <c r="T169" s="61"/>
    </row>
    <row r="170" spans="1:20" s="60" customFormat="1" x14ac:dyDescent="0.3">
      <c r="A170" s="45" t="str">
        <f>IF(F170&lt;&gt;"",1+MAX($A$5:A169),"")</f>
        <v/>
      </c>
      <c r="B170" s="106"/>
      <c r="C170" s="92" t="s">
        <v>55</v>
      </c>
      <c r="D170" s="55">
        <f>D168</f>
        <v>8</v>
      </c>
      <c r="E170" s="56"/>
      <c r="F170" s="57"/>
      <c r="G170" s="58"/>
      <c r="H170" s="35"/>
      <c r="I170" s="35"/>
      <c r="J170" s="43"/>
      <c r="K170" s="24"/>
      <c r="L170" s="44"/>
      <c r="M170" s="27"/>
      <c r="N170" s="27"/>
      <c r="O170" s="76"/>
      <c r="P170" s="59"/>
      <c r="Q170" s="59"/>
      <c r="T170" s="61"/>
    </row>
    <row r="171" spans="1:20" s="60" customFormat="1" x14ac:dyDescent="0.3">
      <c r="A171" s="45" t="str">
        <f>IF(F171&lt;&gt;"",1+MAX($A$5:A170),"")</f>
        <v/>
      </c>
      <c r="B171" s="106"/>
      <c r="C171" s="92" t="s">
        <v>54</v>
      </c>
      <c r="D171" s="55">
        <f>D168*14</f>
        <v>112</v>
      </c>
      <c r="E171" s="56"/>
      <c r="F171" s="57"/>
      <c r="G171" s="58"/>
      <c r="H171" s="35"/>
      <c r="I171" s="35"/>
      <c r="J171" s="43"/>
      <c r="K171" s="24"/>
      <c r="L171" s="44"/>
      <c r="M171" s="27"/>
      <c r="N171" s="27"/>
      <c r="O171" s="76"/>
      <c r="P171" s="59"/>
      <c r="Q171" s="59"/>
      <c r="T171" s="61"/>
    </row>
    <row r="172" spans="1:20" s="60" customFormat="1" x14ac:dyDescent="0.3">
      <c r="A172" s="45">
        <f>IF(F172&lt;&gt;"",1+MAX($A$5:A171),"")</f>
        <v>96</v>
      </c>
      <c r="B172" s="106"/>
      <c r="C172" s="38" t="s">
        <v>228</v>
      </c>
      <c r="D172" s="55">
        <v>2923</v>
      </c>
      <c r="E172" s="56">
        <v>0.1</v>
      </c>
      <c r="F172" s="57">
        <f>(1+E172)*D172</f>
        <v>3215.3</v>
      </c>
      <c r="G172" s="58" t="s">
        <v>5</v>
      </c>
      <c r="H172" s="35">
        <v>2.7500662</v>
      </c>
      <c r="I172" s="35">
        <f t="shared" ref="I172:I175" si="144">H172*F172</f>
        <v>8842.2878528600013</v>
      </c>
      <c r="J172" s="43">
        <v>3.1960000000000002E-2</v>
      </c>
      <c r="K172" s="24">
        <f t="shared" ref="K172:K175" si="145">$N$144</f>
        <v>38</v>
      </c>
      <c r="L172" s="44">
        <f t="shared" ref="L172:L175" si="146">J172*F172</f>
        <v>102.76098800000001</v>
      </c>
      <c r="M172" s="27">
        <f t="shared" ref="M172:M175" si="147">L172*K172</f>
        <v>3904.9175440000004</v>
      </c>
      <c r="N172" s="27">
        <f t="shared" ref="N172:N175" si="148">M172+I172</f>
        <v>12747.205396860001</v>
      </c>
      <c r="O172" s="76"/>
      <c r="P172" s="59"/>
      <c r="Q172" s="59"/>
      <c r="T172" s="61"/>
    </row>
    <row r="173" spans="1:20" s="60" customFormat="1" x14ac:dyDescent="0.3">
      <c r="A173" s="45">
        <f>IF(F173&lt;&gt;"",1+MAX($A$5:A172),"")</f>
        <v>97</v>
      </c>
      <c r="B173" s="106"/>
      <c r="C173" s="38" t="s">
        <v>221</v>
      </c>
      <c r="D173" s="55">
        <v>2923</v>
      </c>
      <c r="E173" s="56">
        <v>0.1</v>
      </c>
      <c r="F173" s="57">
        <f>(1+E173)*D173</f>
        <v>3215.3</v>
      </c>
      <c r="G173" s="58" t="s">
        <v>5</v>
      </c>
      <c r="H173" s="35">
        <v>0.72320079999999998</v>
      </c>
      <c r="I173" s="35">
        <f t="shared" si="144"/>
        <v>2325.30753224</v>
      </c>
      <c r="J173" s="43">
        <v>1.128E-2</v>
      </c>
      <c r="K173" s="24">
        <f t="shared" si="145"/>
        <v>38</v>
      </c>
      <c r="L173" s="44">
        <f t="shared" si="146"/>
        <v>36.268584000000004</v>
      </c>
      <c r="M173" s="27">
        <f t="shared" si="147"/>
        <v>1378.2061920000001</v>
      </c>
      <c r="N173" s="27">
        <f t="shared" si="148"/>
        <v>3703.5137242400001</v>
      </c>
      <c r="O173" s="76"/>
      <c r="P173" s="59"/>
      <c r="Q173" s="59"/>
      <c r="T173" s="61"/>
    </row>
    <row r="174" spans="1:20" s="60" customFormat="1" x14ac:dyDescent="0.3">
      <c r="A174" s="45">
        <f>IF(F174&lt;&gt;"",1+MAX($A$5:A173),"")</f>
        <v>98</v>
      </c>
      <c r="B174" s="106"/>
      <c r="C174" s="38" t="s">
        <v>76</v>
      </c>
      <c r="D174" s="55">
        <f>2*193.26</f>
        <v>386.52</v>
      </c>
      <c r="E174" s="56">
        <v>0.1</v>
      </c>
      <c r="F174" s="57">
        <f>(1+E174)*D174</f>
        <v>425.17200000000003</v>
      </c>
      <c r="G174" s="58" t="s">
        <v>4</v>
      </c>
      <c r="H174" s="35">
        <v>0.41869519999999999</v>
      </c>
      <c r="I174" s="35">
        <f t="shared" si="144"/>
        <v>178.01747557440001</v>
      </c>
      <c r="J174" s="43">
        <v>4.2299999999999994E-3</v>
      </c>
      <c r="K174" s="24">
        <f t="shared" si="145"/>
        <v>38</v>
      </c>
      <c r="L174" s="44">
        <f t="shared" si="146"/>
        <v>1.7984775599999998</v>
      </c>
      <c r="M174" s="27">
        <f t="shared" si="147"/>
        <v>68.342147279999992</v>
      </c>
      <c r="N174" s="27">
        <f t="shared" si="148"/>
        <v>246.35962285440002</v>
      </c>
      <c r="O174" s="76"/>
      <c r="P174" s="59"/>
      <c r="Q174" s="59"/>
      <c r="T174" s="61"/>
    </row>
    <row r="175" spans="1:20" s="60" customFormat="1" x14ac:dyDescent="0.3">
      <c r="A175" s="45">
        <f>IF(F175&lt;&gt;"",1+MAX($A$5:A174),"")</f>
        <v>99</v>
      </c>
      <c r="B175" s="106"/>
      <c r="C175" s="38" t="s">
        <v>59</v>
      </c>
      <c r="D175" s="55">
        <v>19.760000000000002</v>
      </c>
      <c r="E175" s="56">
        <v>0.1</v>
      </c>
      <c r="F175" s="57">
        <f>(1+E175)*D175</f>
        <v>21.736000000000004</v>
      </c>
      <c r="G175" s="58" t="s">
        <v>4</v>
      </c>
      <c r="H175" s="35">
        <v>3.0450560000000002</v>
      </c>
      <c r="I175" s="35">
        <f t="shared" si="144"/>
        <v>66.187337216000017</v>
      </c>
      <c r="J175" s="43">
        <v>2.8199999999999996E-2</v>
      </c>
      <c r="K175" s="24">
        <f t="shared" si="145"/>
        <v>38</v>
      </c>
      <c r="L175" s="44">
        <f t="shared" si="146"/>
        <v>0.61295520000000003</v>
      </c>
      <c r="M175" s="27">
        <f t="shared" si="147"/>
        <v>23.292297600000001</v>
      </c>
      <c r="N175" s="27">
        <f t="shared" si="148"/>
        <v>89.479634816000015</v>
      </c>
      <c r="O175" s="76"/>
      <c r="P175" s="59"/>
      <c r="Q175" s="59"/>
      <c r="T175" s="61"/>
    </row>
    <row r="176" spans="1:20" s="60" customFormat="1" x14ac:dyDescent="0.3">
      <c r="A176" s="45" t="str">
        <f>IF(F176&lt;&gt;"",1+MAX($A$5:A175),"")</f>
        <v/>
      </c>
      <c r="B176" s="106"/>
      <c r="C176" s="38"/>
      <c r="D176" s="55"/>
      <c r="E176" s="56"/>
      <c r="F176" s="57"/>
      <c r="G176" s="58"/>
      <c r="H176" s="35"/>
      <c r="I176" s="35"/>
      <c r="J176" s="43"/>
      <c r="K176" s="24"/>
      <c r="L176" s="44"/>
      <c r="M176" s="27"/>
      <c r="N176" s="27"/>
      <c r="O176" s="76"/>
      <c r="P176" s="59"/>
      <c r="Q176" s="59"/>
      <c r="T176" s="61"/>
    </row>
    <row r="177" spans="1:20" s="60" customFormat="1" x14ac:dyDescent="0.3">
      <c r="A177" s="45" t="str">
        <f>IF(F177&lt;&gt;"",1+MAX($A$5:A176),"")</f>
        <v/>
      </c>
      <c r="B177" s="106"/>
      <c r="C177" s="94" t="s">
        <v>227</v>
      </c>
      <c r="D177" s="55"/>
      <c r="E177" s="56"/>
      <c r="F177" s="57"/>
      <c r="G177" s="58"/>
      <c r="H177" s="35"/>
      <c r="I177" s="35"/>
      <c r="J177" s="43"/>
      <c r="K177" s="24"/>
      <c r="L177" s="44"/>
      <c r="M177" s="27"/>
      <c r="N177" s="27"/>
      <c r="O177" s="76"/>
      <c r="P177" s="59"/>
      <c r="Q177" s="59"/>
      <c r="T177" s="61"/>
    </row>
    <row r="178" spans="1:20" s="60" customFormat="1" x14ac:dyDescent="0.3">
      <c r="A178" s="45">
        <f>IF(F178&lt;&gt;"",1+MAX($A$5:A177),"")</f>
        <v>100</v>
      </c>
      <c r="B178" s="106"/>
      <c r="C178" s="38" t="s">
        <v>224</v>
      </c>
      <c r="D178" s="55">
        <v>420</v>
      </c>
      <c r="E178" s="56">
        <v>0.1</v>
      </c>
      <c r="F178" s="57">
        <f>(1+E178)*D178</f>
        <v>462.00000000000006</v>
      </c>
      <c r="G178" s="58" t="s">
        <v>5</v>
      </c>
      <c r="H178" s="35">
        <v>1.1932813199999999</v>
      </c>
      <c r="I178" s="35">
        <f t="shared" ref="I178" si="149">H178*F178</f>
        <v>551.29596984</v>
      </c>
      <c r="J178" s="43">
        <v>2.5943999999999998E-2</v>
      </c>
      <c r="K178" s="24">
        <f>$N$144</f>
        <v>38</v>
      </c>
      <c r="L178" s="44">
        <f t="shared" ref="L178" si="150">J178*F178</f>
        <v>11.986128000000001</v>
      </c>
      <c r="M178" s="27">
        <f t="shared" ref="M178" si="151">L178*K178</f>
        <v>455.47286400000002</v>
      </c>
      <c r="N178" s="27">
        <f t="shared" ref="N178" si="152">M178+I178</f>
        <v>1006.7688338400001</v>
      </c>
      <c r="O178" s="76"/>
      <c r="P178" s="59"/>
      <c r="Q178" s="59"/>
      <c r="T178" s="61"/>
    </row>
    <row r="179" spans="1:20" s="60" customFormat="1" x14ac:dyDescent="0.3">
      <c r="A179" s="45" t="str">
        <f>IF(F179&lt;&gt;"",1+MAX($A$5:A178),"")</f>
        <v/>
      </c>
      <c r="B179" s="106"/>
      <c r="C179" s="92" t="s">
        <v>57</v>
      </c>
      <c r="D179" s="55">
        <f>ROUNDUP(F178/32,0)</f>
        <v>15</v>
      </c>
      <c r="E179" s="56"/>
      <c r="F179" s="57"/>
      <c r="G179" s="58"/>
      <c r="H179" s="35"/>
      <c r="I179" s="35"/>
      <c r="J179" s="43"/>
      <c r="K179" s="24"/>
      <c r="L179" s="44"/>
      <c r="M179" s="27"/>
      <c r="N179" s="27"/>
      <c r="O179" s="76"/>
      <c r="P179" s="59"/>
      <c r="Q179" s="59"/>
      <c r="T179" s="61"/>
    </row>
    <row r="180" spans="1:20" s="60" customFormat="1" x14ac:dyDescent="0.3">
      <c r="A180" s="45" t="str">
        <f>IF(F180&lt;&gt;"",1+MAX($A$5:A179),"")</f>
        <v/>
      </c>
      <c r="B180" s="106"/>
      <c r="C180" s="92" t="s">
        <v>56</v>
      </c>
      <c r="D180" s="55">
        <f>D179*48</f>
        <v>720</v>
      </c>
      <c r="E180" s="56"/>
      <c r="F180" s="57"/>
      <c r="G180" s="58"/>
      <c r="H180" s="35"/>
      <c r="I180" s="35"/>
      <c r="J180" s="43"/>
      <c r="K180" s="24"/>
      <c r="L180" s="44"/>
      <c r="M180" s="27"/>
      <c r="N180" s="27"/>
      <c r="O180" s="76"/>
      <c r="P180" s="59"/>
      <c r="Q180" s="59"/>
      <c r="T180" s="61"/>
    </row>
    <row r="181" spans="1:20" s="60" customFormat="1" x14ac:dyDescent="0.3">
      <c r="A181" s="45" t="str">
        <f>IF(F181&lt;&gt;"",1+MAX($A$5:A180),"")</f>
        <v/>
      </c>
      <c r="B181" s="106"/>
      <c r="C181" s="92" t="s">
        <v>55</v>
      </c>
      <c r="D181" s="55">
        <f>D179</f>
        <v>15</v>
      </c>
      <c r="E181" s="56"/>
      <c r="F181" s="57"/>
      <c r="G181" s="58"/>
      <c r="H181" s="35"/>
      <c r="I181" s="35"/>
      <c r="J181" s="43"/>
      <c r="K181" s="24"/>
      <c r="L181" s="44"/>
      <c r="M181" s="27"/>
      <c r="N181" s="27"/>
      <c r="O181" s="76"/>
      <c r="P181" s="59"/>
      <c r="Q181" s="59"/>
      <c r="T181" s="61"/>
    </row>
    <row r="182" spans="1:20" s="60" customFormat="1" x14ac:dyDescent="0.3">
      <c r="A182" s="45" t="str">
        <f>IF(F182&lt;&gt;"",1+MAX($A$5:A181),"")</f>
        <v/>
      </c>
      <c r="B182" s="106"/>
      <c r="C182" s="92" t="s">
        <v>54</v>
      </c>
      <c r="D182" s="55">
        <f>D179*14</f>
        <v>210</v>
      </c>
      <c r="E182" s="56"/>
      <c r="F182" s="57"/>
      <c r="G182" s="58"/>
      <c r="H182" s="35"/>
      <c r="I182" s="35"/>
      <c r="J182" s="43"/>
      <c r="K182" s="24"/>
      <c r="L182" s="44"/>
      <c r="M182" s="27"/>
      <c r="N182" s="27"/>
      <c r="O182" s="76"/>
      <c r="P182" s="59"/>
      <c r="Q182" s="59"/>
      <c r="T182" s="61"/>
    </row>
    <row r="183" spans="1:20" s="60" customFormat="1" x14ac:dyDescent="0.3">
      <c r="A183" s="45">
        <f>IF(F183&lt;&gt;"",1+MAX($A$5:A182),"")</f>
        <v>101</v>
      </c>
      <c r="B183" s="106"/>
      <c r="C183" s="38" t="s">
        <v>223</v>
      </c>
      <c r="D183" s="55">
        <v>289</v>
      </c>
      <c r="E183" s="56">
        <v>0.1</v>
      </c>
      <c r="F183" s="57">
        <f>(1+E183)*D183</f>
        <v>317.90000000000003</v>
      </c>
      <c r="G183" s="58" t="s">
        <v>5</v>
      </c>
      <c r="H183" s="35">
        <v>1.2560856</v>
      </c>
      <c r="I183" s="35">
        <f t="shared" ref="I183" si="153">H183*F183</f>
        <v>399.30961224000004</v>
      </c>
      <c r="J183" s="43">
        <v>2.8199999999999996E-2</v>
      </c>
      <c r="K183" s="24">
        <f>$N$144</f>
        <v>38</v>
      </c>
      <c r="L183" s="44">
        <f t="shared" ref="L183" si="154">J183*F183</f>
        <v>8.9647799999999993</v>
      </c>
      <c r="M183" s="27">
        <f t="shared" ref="M183" si="155">L183*K183</f>
        <v>340.66163999999998</v>
      </c>
      <c r="N183" s="27">
        <f t="shared" ref="N183" si="156">M183+I183</f>
        <v>739.97125224000001</v>
      </c>
      <c r="O183" s="76"/>
      <c r="P183" s="59"/>
      <c r="Q183" s="59"/>
      <c r="T183" s="61"/>
    </row>
    <row r="184" spans="1:20" s="60" customFormat="1" x14ac:dyDescent="0.3">
      <c r="A184" s="45" t="str">
        <f>IF(F184&lt;&gt;"",1+MAX($A$5:A183),"")</f>
        <v/>
      </c>
      <c r="B184" s="106"/>
      <c r="C184" s="92" t="s">
        <v>57</v>
      </c>
      <c r="D184" s="55">
        <f>ROUNDUP(F183/32,0)</f>
        <v>10</v>
      </c>
      <c r="E184" s="56"/>
      <c r="F184" s="57"/>
      <c r="G184" s="58"/>
      <c r="H184" s="35"/>
      <c r="I184" s="35"/>
      <c r="J184" s="43"/>
      <c r="K184" s="24"/>
      <c r="L184" s="44"/>
      <c r="M184" s="27"/>
      <c r="N184" s="27"/>
      <c r="O184" s="76"/>
      <c r="P184" s="59"/>
      <c r="Q184" s="59"/>
      <c r="T184" s="61"/>
    </row>
    <row r="185" spans="1:20" s="60" customFormat="1" x14ac:dyDescent="0.3">
      <c r="A185" s="45" t="str">
        <f>IF(F185&lt;&gt;"",1+MAX($A$5:A184),"")</f>
        <v/>
      </c>
      <c r="B185" s="106"/>
      <c r="C185" s="92" t="s">
        <v>56</v>
      </c>
      <c r="D185" s="55">
        <f>D184*48</f>
        <v>480</v>
      </c>
      <c r="E185" s="56"/>
      <c r="F185" s="57"/>
      <c r="G185" s="58"/>
      <c r="H185" s="35"/>
      <c r="I185" s="35"/>
      <c r="J185" s="43"/>
      <c r="K185" s="24"/>
      <c r="L185" s="44"/>
      <c r="M185" s="27"/>
      <c r="N185" s="27"/>
      <c r="O185" s="76"/>
      <c r="P185" s="59"/>
      <c r="Q185" s="59"/>
      <c r="T185" s="61"/>
    </row>
    <row r="186" spans="1:20" s="60" customFormat="1" x14ac:dyDescent="0.3">
      <c r="A186" s="45" t="str">
        <f>IF(F186&lt;&gt;"",1+MAX($A$5:A185),"")</f>
        <v/>
      </c>
      <c r="B186" s="106"/>
      <c r="C186" s="92" t="s">
        <v>55</v>
      </c>
      <c r="D186" s="55">
        <f>D184</f>
        <v>10</v>
      </c>
      <c r="E186" s="56"/>
      <c r="F186" s="57"/>
      <c r="G186" s="58"/>
      <c r="H186" s="35"/>
      <c r="I186" s="35"/>
      <c r="J186" s="43"/>
      <c r="K186" s="24"/>
      <c r="L186" s="44"/>
      <c r="M186" s="27"/>
      <c r="N186" s="27"/>
      <c r="O186" s="76"/>
      <c r="P186" s="59"/>
      <c r="Q186" s="59"/>
      <c r="T186" s="61"/>
    </row>
    <row r="187" spans="1:20" s="60" customFormat="1" x14ac:dyDescent="0.3">
      <c r="A187" s="45" t="str">
        <f>IF(F187&lt;&gt;"",1+MAX($A$5:A186),"")</f>
        <v/>
      </c>
      <c r="B187" s="106"/>
      <c r="C187" s="92" t="s">
        <v>54</v>
      </c>
      <c r="D187" s="55">
        <f>D184*14</f>
        <v>140</v>
      </c>
      <c r="E187" s="56"/>
      <c r="F187" s="57"/>
      <c r="G187" s="58"/>
      <c r="H187" s="35"/>
      <c r="I187" s="35"/>
      <c r="J187" s="43"/>
      <c r="K187" s="24"/>
      <c r="L187" s="44"/>
      <c r="M187" s="27"/>
      <c r="N187" s="27"/>
      <c r="O187" s="76"/>
      <c r="P187" s="59"/>
      <c r="Q187" s="59"/>
      <c r="T187" s="61"/>
    </row>
    <row r="188" spans="1:20" s="60" customFormat="1" x14ac:dyDescent="0.3">
      <c r="A188" s="45">
        <f>IF(F188&lt;&gt;"",1+MAX($A$5:A187),"")</f>
        <v>102</v>
      </c>
      <c r="B188" s="106"/>
      <c r="C188" s="38" t="s">
        <v>217</v>
      </c>
      <c r="D188" s="55">
        <v>131</v>
      </c>
      <c r="E188" s="56">
        <v>0.1</v>
      </c>
      <c r="F188" s="57">
        <f>(1+E188)*D188</f>
        <v>144.10000000000002</v>
      </c>
      <c r="G188" s="58" t="s">
        <v>5</v>
      </c>
      <c r="H188" s="35">
        <v>1.2560856</v>
      </c>
      <c r="I188" s="35">
        <f t="shared" ref="I188" si="157">H188*F188</f>
        <v>181.00193496000003</v>
      </c>
      <c r="J188" s="43">
        <v>2.8199999999999996E-2</v>
      </c>
      <c r="K188" s="24">
        <f>$N$144</f>
        <v>38</v>
      </c>
      <c r="L188" s="44">
        <f t="shared" ref="L188" si="158">J188*F188</f>
        <v>4.0636200000000002</v>
      </c>
      <c r="M188" s="27">
        <f t="shared" ref="M188" si="159">L188*K188</f>
        <v>154.41756000000001</v>
      </c>
      <c r="N188" s="27">
        <f t="shared" ref="N188" si="160">M188+I188</f>
        <v>335.41949496000007</v>
      </c>
      <c r="O188" s="76"/>
      <c r="P188" s="59"/>
      <c r="Q188" s="59"/>
      <c r="T188" s="61"/>
    </row>
    <row r="189" spans="1:20" s="60" customFormat="1" x14ac:dyDescent="0.3">
      <c r="A189" s="45" t="str">
        <f>IF(F189&lt;&gt;"",1+MAX($A$5:A188),"")</f>
        <v/>
      </c>
      <c r="B189" s="106"/>
      <c r="C189" s="92" t="s">
        <v>57</v>
      </c>
      <c r="D189" s="55">
        <f>ROUNDUP(F188/32,0)</f>
        <v>5</v>
      </c>
      <c r="E189" s="56"/>
      <c r="F189" s="57"/>
      <c r="G189" s="58"/>
      <c r="H189" s="35"/>
      <c r="I189" s="35"/>
      <c r="J189" s="43"/>
      <c r="K189" s="24"/>
      <c r="L189" s="44"/>
      <c r="M189" s="27"/>
      <c r="N189" s="27"/>
      <c r="O189" s="76"/>
      <c r="P189" s="59"/>
      <c r="Q189" s="59"/>
      <c r="T189" s="61"/>
    </row>
    <row r="190" spans="1:20" s="60" customFormat="1" x14ac:dyDescent="0.3">
      <c r="A190" s="45" t="str">
        <f>IF(F190&lt;&gt;"",1+MAX($A$5:A189),"")</f>
        <v/>
      </c>
      <c r="B190" s="106"/>
      <c r="C190" s="92" t="s">
        <v>56</v>
      </c>
      <c r="D190" s="55">
        <f>D189*48</f>
        <v>240</v>
      </c>
      <c r="E190" s="56"/>
      <c r="F190" s="57"/>
      <c r="G190" s="58"/>
      <c r="H190" s="35"/>
      <c r="I190" s="35"/>
      <c r="J190" s="43"/>
      <c r="K190" s="24"/>
      <c r="L190" s="44"/>
      <c r="M190" s="27"/>
      <c r="N190" s="27"/>
      <c r="O190" s="76"/>
      <c r="P190" s="59"/>
      <c r="Q190" s="59"/>
      <c r="T190" s="61"/>
    </row>
    <row r="191" spans="1:20" s="60" customFormat="1" x14ac:dyDescent="0.3">
      <c r="A191" s="45" t="str">
        <f>IF(F191&lt;&gt;"",1+MAX($A$5:A190),"")</f>
        <v/>
      </c>
      <c r="B191" s="106"/>
      <c r="C191" s="92" t="s">
        <v>55</v>
      </c>
      <c r="D191" s="55">
        <f>D189</f>
        <v>5</v>
      </c>
      <c r="E191" s="56"/>
      <c r="F191" s="57"/>
      <c r="G191" s="58"/>
      <c r="H191" s="35"/>
      <c r="I191" s="35"/>
      <c r="J191" s="43"/>
      <c r="K191" s="24"/>
      <c r="L191" s="44"/>
      <c r="M191" s="27"/>
      <c r="N191" s="27"/>
      <c r="O191" s="76"/>
      <c r="P191" s="59"/>
      <c r="Q191" s="59"/>
      <c r="T191" s="61"/>
    </row>
    <row r="192" spans="1:20" s="60" customFormat="1" x14ac:dyDescent="0.3">
      <c r="A192" s="45" t="str">
        <f>IF(F192&lt;&gt;"",1+MAX($A$5:A191),"")</f>
        <v/>
      </c>
      <c r="B192" s="106"/>
      <c r="C192" s="92" t="s">
        <v>54</v>
      </c>
      <c r="D192" s="55">
        <f>D189*14</f>
        <v>70</v>
      </c>
      <c r="E192" s="56"/>
      <c r="F192" s="57"/>
      <c r="G192" s="58"/>
      <c r="H192" s="35"/>
      <c r="I192" s="35"/>
      <c r="J192" s="43"/>
      <c r="K192" s="24"/>
      <c r="L192" s="44"/>
      <c r="M192" s="27"/>
      <c r="N192" s="27"/>
      <c r="O192" s="76"/>
      <c r="P192" s="59"/>
      <c r="Q192" s="59"/>
      <c r="T192" s="61"/>
    </row>
    <row r="193" spans="1:20" s="60" customFormat="1" x14ac:dyDescent="0.3">
      <c r="A193" s="45">
        <f>IF(F193&lt;&gt;"",1+MAX($A$5:A192),"")</f>
        <v>103</v>
      </c>
      <c r="B193" s="106"/>
      <c r="C193" s="38" t="s">
        <v>226</v>
      </c>
      <c r="D193" s="55">
        <v>420</v>
      </c>
      <c r="E193" s="56">
        <v>0.1</v>
      </c>
      <c r="F193" s="57">
        <f>(1+E193)*D193</f>
        <v>462.00000000000006</v>
      </c>
      <c r="G193" s="58" t="s">
        <v>5</v>
      </c>
      <c r="H193" s="35">
        <v>2.7500662</v>
      </c>
      <c r="I193" s="35">
        <f t="shared" ref="I193:I195" si="161">H193*F193</f>
        <v>1270.5305844000002</v>
      </c>
      <c r="J193" s="43">
        <v>3.1960000000000002E-2</v>
      </c>
      <c r="K193" s="24">
        <f t="shared" ref="K193:K195" si="162">$N$144</f>
        <v>38</v>
      </c>
      <c r="L193" s="44">
        <f t="shared" ref="L193:L195" si="163">J193*F193</f>
        <v>14.765520000000002</v>
      </c>
      <c r="M193" s="27">
        <f t="shared" ref="M193:M195" si="164">L193*K193</f>
        <v>561.08976000000007</v>
      </c>
      <c r="N193" s="27">
        <f t="shared" ref="N193:N195" si="165">M193+I193</f>
        <v>1831.6203444000002</v>
      </c>
      <c r="O193" s="76"/>
      <c r="P193" s="59"/>
      <c r="Q193" s="59"/>
      <c r="T193" s="61"/>
    </row>
    <row r="194" spans="1:20" s="60" customFormat="1" x14ac:dyDescent="0.3">
      <c r="A194" s="45">
        <f>IF(F194&lt;&gt;"",1+MAX($A$5:A193),"")</f>
        <v>104</v>
      </c>
      <c r="B194" s="106"/>
      <c r="C194" s="38" t="s">
        <v>221</v>
      </c>
      <c r="D194" s="55">
        <v>420</v>
      </c>
      <c r="E194" s="56">
        <v>0.1</v>
      </c>
      <c r="F194" s="57">
        <f>(1+E194)*D194</f>
        <v>462.00000000000006</v>
      </c>
      <c r="G194" s="58" t="s">
        <v>5</v>
      </c>
      <c r="H194" s="35">
        <v>0.72320079999999998</v>
      </c>
      <c r="I194" s="35">
        <f t="shared" si="161"/>
        <v>334.11876960000001</v>
      </c>
      <c r="J194" s="43">
        <v>9.4000000000000004E-3</v>
      </c>
      <c r="K194" s="24">
        <f t="shared" si="162"/>
        <v>38</v>
      </c>
      <c r="L194" s="44">
        <f t="shared" si="163"/>
        <v>4.3428000000000004</v>
      </c>
      <c r="M194" s="27">
        <f t="shared" si="164"/>
        <v>165.02640000000002</v>
      </c>
      <c r="N194" s="27">
        <f t="shared" si="165"/>
        <v>499.14516960000003</v>
      </c>
      <c r="O194" s="76"/>
      <c r="P194" s="59"/>
      <c r="Q194" s="59"/>
      <c r="T194" s="61"/>
    </row>
    <row r="195" spans="1:20" s="60" customFormat="1" x14ac:dyDescent="0.3">
      <c r="A195" s="45">
        <f>IF(F195&lt;&gt;"",1+MAX($A$5:A194),"")</f>
        <v>105</v>
      </c>
      <c r="B195" s="106"/>
      <c r="C195" s="38" t="s">
        <v>76</v>
      </c>
      <c r="D195" s="55">
        <f>2*30.3</f>
        <v>60.6</v>
      </c>
      <c r="E195" s="56">
        <v>0.1</v>
      </c>
      <c r="F195" s="57">
        <f>(1+E195)*D195</f>
        <v>66.660000000000011</v>
      </c>
      <c r="G195" s="58" t="s">
        <v>4</v>
      </c>
      <c r="H195" s="35">
        <v>0.41869519999999999</v>
      </c>
      <c r="I195" s="35">
        <f t="shared" si="161"/>
        <v>27.910222032000004</v>
      </c>
      <c r="J195" s="43">
        <v>4.2299999999999994E-3</v>
      </c>
      <c r="K195" s="24">
        <f t="shared" si="162"/>
        <v>38</v>
      </c>
      <c r="L195" s="44">
        <f t="shared" si="163"/>
        <v>0.28197179999999999</v>
      </c>
      <c r="M195" s="27">
        <f t="shared" si="164"/>
        <v>10.7149284</v>
      </c>
      <c r="N195" s="27">
        <f t="shared" si="165"/>
        <v>38.625150432000005</v>
      </c>
      <c r="O195" s="76"/>
      <c r="P195" s="59"/>
      <c r="Q195" s="59"/>
      <c r="T195" s="61"/>
    </row>
    <row r="196" spans="1:20" s="60" customFormat="1" x14ac:dyDescent="0.3">
      <c r="A196" s="45" t="str">
        <f>IF(F196&lt;&gt;"",1+MAX($A$5:A195),"")</f>
        <v/>
      </c>
      <c r="B196" s="106"/>
      <c r="C196" s="38"/>
      <c r="D196" s="55"/>
      <c r="E196" s="56"/>
      <c r="F196" s="57"/>
      <c r="G196" s="58"/>
      <c r="H196" s="35"/>
      <c r="I196" s="35"/>
      <c r="J196" s="43"/>
      <c r="K196" s="24"/>
      <c r="L196" s="44"/>
      <c r="M196" s="27"/>
      <c r="N196" s="27"/>
      <c r="O196" s="76"/>
      <c r="P196" s="59"/>
      <c r="Q196" s="59"/>
      <c r="T196" s="61"/>
    </row>
    <row r="197" spans="1:20" s="60" customFormat="1" x14ac:dyDescent="0.3">
      <c r="A197" s="45" t="str">
        <f>IF(F197&lt;&gt;"",1+MAX($A$5:A196),"")</f>
        <v/>
      </c>
      <c r="B197" s="106"/>
      <c r="C197" s="94" t="s">
        <v>225</v>
      </c>
      <c r="D197" s="55"/>
      <c r="E197" s="56"/>
      <c r="F197" s="57"/>
      <c r="G197" s="58"/>
      <c r="H197" s="35"/>
      <c r="I197" s="35"/>
      <c r="J197" s="43"/>
      <c r="K197" s="24"/>
      <c r="L197" s="44"/>
      <c r="M197" s="27"/>
      <c r="N197" s="27"/>
      <c r="O197" s="76"/>
      <c r="P197" s="59"/>
      <c r="Q197" s="59"/>
      <c r="T197" s="61"/>
    </row>
    <row r="198" spans="1:20" s="60" customFormat="1" x14ac:dyDescent="0.3">
      <c r="A198" s="45">
        <f>IF(F198&lt;&gt;"",1+MAX($A$5:A197),"")</f>
        <v>106</v>
      </c>
      <c r="B198" s="106"/>
      <c r="C198" s="38" t="s">
        <v>224</v>
      </c>
      <c r="D198" s="55">
        <v>192</v>
      </c>
      <c r="E198" s="56">
        <v>0.1</v>
      </c>
      <c r="F198" s="57">
        <f>(1+E198)*D198</f>
        <v>211.20000000000002</v>
      </c>
      <c r="G198" s="58" t="s">
        <v>5</v>
      </c>
      <c r="H198" s="35">
        <v>1.1932813199999999</v>
      </c>
      <c r="I198" s="35">
        <f t="shared" ref="I198" si="166">H198*F198</f>
        <v>252.02101478399999</v>
      </c>
      <c r="J198" s="43">
        <v>2.5943999999999998E-2</v>
      </c>
      <c r="K198" s="24">
        <f>$N$144</f>
        <v>38</v>
      </c>
      <c r="L198" s="44">
        <f t="shared" ref="L198" si="167">J198*F198</f>
        <v>5.4793728000000002</v>
      </c>
      <c r="M198" s="27">
        <f t="shared" ref="M198" si="168">L198*K198</f>
        <v>208.21616640000002</v>
      </c>
      <c r="N198" s="27">
        <f t="shared" ref="N198" si="169">M198+I198</f>
        <v>460.23718118400001</v>
      </c>
      <c r="O198" s="76"/>
      <c r="P198" s="59"/>
      <c r="Q198" s="59"/>
      <c r="T198" s="61"/>
    </row>
    <row r="199" spans="1:20" s="60" customFormat="1" x14ac:dyDescent="0.3">
      <c r="A199" s="45" t="str">
        <f>IF(F199&lt;&gt;"",1+MAX($A$5:A198),"")</f>
        <v/>
      </c>
      <c r="B199" s="106"/>
      <c r="C199" s="92" t="s">
        <v>57</v>
      </c>
      <c r="D199" s="55">
        <f>ROUNDUP(F198/32,0)</f>
        <v>7</v>
      </c>
      <c r="E199" s="56"/>
      <c r="F199" s="57"/>
      <c r="G199" s="58"/>
      <c r="H199" s="35"/>
      <c r="I199" s="35"/>
      <c r="J199" s="43"/>
      <c r="K199" s="24"/>
      <c r="L199" s="44"/>
      <c r="M199" s="27"/>
      <c r="N199" s="27"/>
      <c r="O199" s="76"/>
      <c r="P199" s="59"/>
      <c r="Q199" s="59"/>
      <c r="T199" s="61"/>
    </row>
    <row r="200" spans="1:20" s="60" customFormat="1" x14ac:dyDescent="0.3">
      <c r="A200" s="45" t="str">
        <f>IF(F200&lt;&gt;"",1+MAX($A$5:A199),"")</f>
        <v/>
      </c>
      <c r="B200" s="106"/>
      <c r="C200" s="92" t="s">
        <v>56</v>
      </c>
      <c r="D200" s="55">
        <f>D199*48</f>
        <v>336</v>
      </c>
      <c r="E200" s="56"/>
      <c r="F200" s="57"/>
      <c r="G200" s="58"/>
      <c r="H200" s="35"/>
      <c r="I200" s="35"/>
      <c r="J200" s="43"/>
      <c r="K200" s="24"/>
      <c r="L200" s="44"/>
      <c r="M200" s="27"/>
      <c r="N200" s="27"/>
      <c r="O200" s="76"/>
      <c r="P200" s="59"/>
      <c r="Q200" s="59"/>
      <c r="T200" s="61"/>
    </row>
    <row r="201" spans="1:20" s="60" customFormat="1" x14ac:dyDescent="0.3">
      <c r="A201" s="45" t="str">
        <f>IF(F201&lt;&gt;"",1+MAX($A$5:A200),"")</f>
        <v/>
      </c>
      <c r="B201" s="106"/>
      <c r="C201" s="92" t="s">
        <v>55</v>
      </c>
      <c r="D201" s="55">
        <f>D199</f>
        <v>7</v>
      </c>
      <c r="E201" s="56"/>
      <c r="F201" s="57"/>
      <c r="G201" s="58"/>
      <c r="H201" s="35"/>
      <c r="I201" s="35"/>
      <c r="J201" s="43"/>
      <c r="K201" s="24"/>
      <c r="L201" s="44"/>
      <c r="M201" s="27"/>
      <c r="N201" s="27"/>
      <c r="O201" s="76"/>
      <c r="P201" s="59"/>
      <c r="Q201" s="59"/>
      <c r="T201" s="61"/>
    </row>
    <row r="202" spans="1:20" s="60" customFormat="1" x14ac:dyDescent="0.3">
      <c r="A202" s="45" t="str">
        <f>IF(F202&lt;&gt;"",1+MAX($A$5:A201),"")</f>
        <v/>
      </c>
      <c r="B202" s="106"/>
      <c r="C202" s="92" t="s">
        <v>54</v>
      </c>
      <c r="D202" s="55">
        <f>D199*14</f>
        <v>98</v>
      </c>
      <c r="E202" s="56"/>
      <c r="F202" s="57"/>
      <c r="G202" s="58"/>
      <c r="H202" s="35"/>
      <c r="I202" s="35"/>
      <c r="J202" s="43"/>
      <c r="K202" s="24"/>
      <c r="L202" s="44"/>
      <c r="M202" s="27"/>
      <c r="N202" s="27"/>
      <c r="O202" s="76"/>
      <c r="P202" s="59"/>
      <c r="Q202" s="59"/>
      <c r="T202" s="61"/>
    </row>
    <row r="203" spans="1:20" s="60" customFormat="1" x14ac:dyDescent="0.3">
      <c r="A203" s="45">
        <f>IF(F203&lt;&gt;"",1+MAX($A$5:A202),"")</f>
        <v>107</v>
      </c>
      <c r="B203" s="106"/>
      <c r="C203" s="38" t="s">
        <v>223</v>
      </c>
      <c r="D203" s="55">
        <v>192</v>
      </c>
      <c r="E203" s="56">
        <v>0.1</v>
      </c>
      <c r="F203" s="57">
        <f>(1+E203)*D203</f>
        <v>211.20000000000002</v>
      </c>
      <c r="G203" s="58" t="s">
        <v>5</v>
      </c>
      <c r="H203" s="35">
        <v>1.2560856</v>
      </c>
      <c r="I203" s="35">
        <f t="shared" ref="I203" si="170">H203*F203</f>
        <v>265.28527872000001</v>
      </c>
      <c r="J203" s="43">
        <v>2.8199999999999996E-2</v>
      </c>
      <c r="K203" s="24">
        <f>$N$144</f>
        <v>38</v>
      </c>
      <c r="L203" s="44">
        <f t="shared" ref="L203" si="171">J203*F203</f>
        <v>5.9558399999999994</v>
      </c>
      <c r="M203" s="27">
        <f t="shared" ref="M203" si="172">L203*K203</f>
        <v>226.32191999999998</v>
      </c>
      <c r="N203" s="27">
        <f t="shared" ref="N203" si="173">M203+I203</f>
        <v>491.60719871999999</v>
      </c>
      <c r="O203" s="76"/>
      <c r="P203" s="59"/>
      <c r="Q203" s="59"/>
      <c r="T203" s="61"/>
    </row>
    <row r="204" spans="1:20" s="60" customFormat="1" x14ac:dyDescent="0.3">
      <c r="A204" s="45" t="str">
        <f>IF(F204&lt;&gt;"",1+MAX($A$5:A203),"")</f>
        <v/>
      </c>
      <c r="B204" s="106"/>
      <c r="C204" s="92" t="s">
        <v>57</v>
      </c>
      <c r="D204" s="55">
        <f>ROUNDUP(F203/32,0)</f>
        <v>7</v>
      </c>
      <c r="E204" s="56"/>
      <c r="F204" s="57"/>
      <c r="G204" s="58"/>
      <c r="H204" s="35"/>
      <c r="I204" s="35"/>
      <c r="J204" s="43"/>
      <c r="K204" s="24"/>
      <c r="L204" s="44"/>
      <c r="M204" s="27"/>
      <c r="N204" s="27"/>
      <c r="O204" s="76"/>
      <c r="P204" s="59"/>
      <c r="Q204" s="59"/>
      <c r="T204" s="61"/>
    </row>
    <row r="205" spans="1:20" s="60" customFormat="1" x14ac:dyDescent="0.3">
      <c r="A205" s="45" t="str">
        <f>IF(F205&lt;&gt;"",1+MAX($A$5:A204),"")</f>
        <v/>
      </c>
      <c r="B205" s="106"/>
      <c r="C205" s="92" t="s">
        <v>56</v>
      </c>
      <c r="D205" s="55">
        <f>D204*48</f>
        <v>336</v>
      </c>
      <c r="E205" s="56"/>
      <c r="F205" s="57"/>
      <c r="G205" s="58"/>
      <c r="H205" s="35"/>
      <c r="I205" s="35"/>
      <c r="J205" s="43"/>
      <c r="K205" s="24"/>
      <c r="L205" s="44"/>
      <c r="M205" s="27"/>
      <c r="N205" s="27"/>
      <c r="O205" s="76"/>
      <c r="P205" s="59"/>
      <c r="Q205" s="59"/>
      <c r="T205" s="61"/>
    </row>
    <row r="206" spans="1:20" s="60" customFormat="1" x14ac:dyDescent="0.3">
      <c r="A206" s="45" t="str">
        <f>IF(F206&lt;&gt;"",1+MAX($A$5:A205),"")</f>
        <v/>
      </c>
      <c r="B206" s="106"/>
      <c r="C206" s="92" t="s">
        <v>55</v>
      </c>
      <c r="D206" s="55">
        <f>D204</f>
        <v>7</v>
      </c>
      <c r="E206" s="56"/>
      <c r="F206" s="57"/>
      <c r="G206" s="58"/>
      <c r="H206" s="35"/>
      <c r="I206" s="35"/>
      <c r="J206" s="43"/>
      <c r="K206" s="24"/>
      <c r="L206" s="44"/>
      <c r="M206" s="27"/>
      <c r="N206" s="27"/>
      <c r="O206" s="76"/>
      <c r="P206" s="59"/>
      <c r="Q206" s="59"/>
      <c r="T206" s="61"/>
    </row>
    <row r="207" spans="1:20" s="60" customFormat="1" x14ac:dyDescent="0.3">
      <c r="A207" s="45" t="str">
        <f>IF(F207&lt;&gt;"",1+MAX($A$5:A206),"")</f>
        <v/>
      </c>
      <c r="B207" s="106"/>
      <c r="C207" s="92" t="s">
        <v>54</v>
      </c>
      <c r="D207" s="55">
        <f>D204*14</f>
        <v>98</v>
      </c>
      <c r="E207" s="56"/>
      <c r="F207" s="57"/>
      <c r="G207" s="58"/>
      <c r="H207" s="35"/>
      <c r="I207" s="35"/>
      <c r="J207" s="43"/>
      <c r="K207" s="24"/>
      <c r="L207" s="44"/>
      <c r="M207" s="27"/>
      <c r="N207" s="27"/>
      <c r="O207" s="76"/>
      <c r="P207" s="59"/>
      <c r="Q207" s="59"/>
      <c r="T207" s="61"/>
    </row>
    <row r="208" spans="1:20" s="60" customFormat="1" x14ac:dyDescent="0.3">
      <c r="A208" s="45">
        <f>IF(F208&lt;&gt;"",1+MAX($A$5:A207),"")</f>
        <v>108</v>
      </c>
      <c r="B208" s="106"/>
      <c r="C208" s="38" t="s">
        <v>222</v>
      </c>
      <c r="D208" s="55">
        <v>192</v>
      </c>
      <c r="E208" s="56">
        <v>0.1</v>
      </c>
      <c r="F208" s="57">
        <f>(1+E208)*D208</f>
        <v>211.20000000000002</v>
      </c>
      <c r="G208" s="58" t="s">
        <v>5</v>
      </c>
      <c r="H208" s="35">
        <v>2.7500662</v>
      </c>
      <c r="I208" s="35">
        <f t="shared" ref="I208:I210" si="174">H208*F208</f>
        <v>580.81398144000002</v>
      </c>
      <c r="J208" s="43">
        <v>3.1960000000000002E-2</v>
      </c>
      <c r="K208" s="24">
        <f t="shared" ref="K208:K210" si="175">$N$144</f>
        <v>38</v>
      </c>
      <c r="L208" s="44">
        <f t="shared" ref="L208:L210" si="176">J208*F208</f>
        <v>6.7499520000000013</v>
      </c>
      <c r="M208" s="27">
        <f t="shared" ref="M208:M210" si="177">L208*K208</f>
        <v>256.49817600000006</v>
      </c>
      <c r="N208" s="27">
        <f t="shared" ref="N208:N210" si="178">M208+I208</f>
        <v>837.31215744000008</v>
      </c>
      <c r="O208" s="76"/>
      <c r="P208" s="59"/>
      <c r="Q208" s="59"/>
      <c r="T208" s="61"/>
    </row>
    <row r="209" spans="1:20" s="60" customFormat="1" x14ac:dyDescent="0.3">
      <c r="A209" s="45">
        <f>IF(F209&lt;&gt;"",1+MAX($A$5:A208),"")</f>
        <v>109</v>
      </c>
      <c r="B209" s="106"/>
      <c r="C209" s="38" t="s">
        <v>221</v>
      </c>
      <c r="D209" s="55">
        <v>192</v>
      </c>
      <c r="E209" s="56">
        <v>0.1</v>
      </c>
      <c r="F209" s="57">
        <f>(1+E209)*D209</f>
        <v>211.20000000000002</v>
      </c>
      <c r="G209" s="58" t="s">
        <v>5</v>
      </c>
      <c r="H209" s="35">
        <v>0.72320079999999998</v>
      </c>
      <c r="I209" s="35">
        <f t="shared" si="174"/>
        <v>152.74000896000001</v>
      </c>
      <c r="J209" s="43">
        <v>9.4000000000000004E-3</v>
      </c>
      <c r="K209" s="24">
        <f t="shared" si="175"/>
        <v>38</v>
      </c>
      <c r="L209" s="44">
        <f t="shared" si="176"/>
        <v>1.9852800000000002</v>
      </c>
      <c r="M209" s="27">
        <f t="shared" si="177"/>
        <v>75.440640000000002</v>
      </c>
      <c r="N209" s="27">
        <f t="shared" si="178"/>
        <v>228.18064896000001</v>
      </c>
      <c r="O209" s="76"/>
      <c r="P209" s="59"/>
      <c r="Q209" s="59"/>
      <c r="T209" s="61"/>
    </row>
    <row r="210" spans="1:20" s="60" customFormat="1" x14ac:dyDescent="0.3">
      <c r="A210" s="45">
        <f>IF(F210&lt;&gt;"",1+MAX($A$5:A209),"")</f>
        <v>110</v>
      </c>
      <c r="B210" s="106"/>
      <c r="C210" s="38" t="s">
        <v>76</v>
      </c>
      <c r="D210" s="55">
        <f>2*11.38</f>
        <v>22.76</v>
      </c>
      <c r="E210" s="56">
        <v>0.1</v>
      </c>
      <c r="F210" s="57">
        <f>(1+E210)*D210</f>
        <v>25.036000000000005</v>
      </c>
      <c r="G210" s="58" t="s">
        <v>4</v>
      </c>
      <c r="H210" s="35">
        <v>0.41869519999999999</v>
      </c>
      <c r="I210" s="35">
        <f t="shared" si="174"/>
        <v>10.482453027200002</v>
      </c>
      <c r="J210" s="43">
        <v>4.2299999999999994E-3</v>
      </c>
      <c r="K210" s="24">
        <f t="shared" si="175"/>
        <v>38</v>
      </c>
      <c r="L210" s="44">
        <f t="shared" si="176"/>
        <v>0.10590228</v>
      </c>
      <c r="M210" s="27">
        <f t="shared" si="177"/>
        <v>4.0242866399999997</v>
      </c>
      <c r="N210" s="27">
        <f t="shared" si="178"/>
        <v>14.506739667200002</v>
      </c>
      <c r="O210" s="76"/>
      <c r="P210" s="59"/>
      <c r="Q210" s="59"/>
      <c r="T210" s="61"/>
    </row>
    <row r="211" spans="1:20" s="60" customFormat="1" x14ac:dyDescent="0.3">
      <c r="A211" s="45" t="str">
        <f>IF(F211&lt;&gt;"",1+MAX($A$5:A210),"")</f>
        <v/>
      </c>
      <c r="B211" s="106"/>
      <c r="C211" s="38"/>
      <c r="D211" s="55"/>
      <c r="E211" s="56"/>
      <c r="F211" s="57"/>
      <c r="G211" s="58"/>
      <c r="H211" s="35"/>
      <c r="I211" s="35"/>
      <c r="J211" s="43"/>
      <c r="K211" s="24"/>
      <c r="L211" s="44"/>
      <c r="M211" s="27"/>
      <c r="N211" s="27"/>
      <c r="O211" s="76"/>
      <c r="P211" s="59"/>
      <c r="Q211" s="59"/>
      <c r="T211" s="61"/>
    </row>
    <row r="212" spans="1:20" s="60" customFormat="1" x14ac:dyDescent="0.3">
      <c r="A212" s="45" t="str">
        <f>IF(F212&lt;&gt;"",1+MAX($A$5:A211),"")</f>
        <v/>
      </c>
      <c r="B212" s="106"/>
      <c r="C212" s="94" t="s">
        <v>220</v>
      </c>
      <c r="D212" s="55"/>
      <c r="E212" s="56"/>
      <c r="F212" s="57"/>
      <c r="G212" s="58"/>
      <c r="H212" s="35"/>
      <c r="I212" s="35"/>
      <c r="J212" s="43"/>
      <c r="K212" s="24"/>
      <c r="L212" s="44"/>
      <c r="M212" s="27"/>
      <c r="N212" s="27"/>
      <c r="O212" s="76"/>
      <c r="P212" s="59"/>
      <c r="Q212" s="59"/>
      <c r="T212" s="61"/>
    </row>
    <row r="213" spans="1:20" s="60" customFormat="1" x14ac:dyDescent="0.3">
      <c r="A213" s="45">
        <f>IF(F213&lt;&gt;"",1+MAX($A$5:A212),"")</f>
        <v>111</v>
      </c>
      <c r="B213" s="106"/>
      <c r="C213" s="38" t="s">
        <v>211</v>
      </c>
      <c r="D213" s="55">
        <f>2*2009+27+345</f>
        <v>4390</v>
      </c>
      <c r="E213" s="56">
        <v>0.1</v>
      </c>
      <c r="F213" s="57">
        <f>(1+E213)*D213</f>
        <v>4829</v>
      </c>
      <c r="G213" s="58" t="s">
        <v>5</v>
      </c>
      <c r="H213" s="35">
        <v>1.2560856</v>
      </c>
      <c r="I213" s="35">
        <f t="shared" ref="I213" si="179">H213*F213</f>
        <v>6065.6373623999998</v>
      </c>
      <c r="J213" s="43">
        <v>2.8199999999999996E-2</v>
      </c>
      <c r="K213" s="24">
        <f>$N$144</f>
        <v>38</v>
      </c>
      <c r="L213" s="44">
        <f t="shared" ref="L213" si="180">J213*F213</f>
        <v>136.17779999999999</v>
      </c>
      <c r="M213" s="27">
        <f t="shared" ref="M213" si="181">L213*K213</f>
        <v>5174.7563999999993</v>
      </c>
      <c r="N213" s="27">
        <f t="shared" ref="N213" si="182">M213+I213</f>
        <v>11240.393762399999</v>
      </c>
      <c r="O213" s="76"/>
      <c r="P213" s="59"/>
      <c r="Q213" s="59"/>
      <c r="T213" s="61"/>
    </row>
    <row r="214" spans="1:20" s="60" customFormat="1" x14ac:dyDescent="0.3">
      <c r="A214" s="45" t="str">
        <f>IF(F214&lt;&gt;"",1+MAX($A$5:A213),"")</f>
        <v/>
      </c>
      <c r="B214" s="106"/>
      <c r="C214" s="92" t="s">
        <v>57</v>
      </c>
      <c r="D214" s="55">
        <f>ROUNDUP(F213/32,0)</f>
        <v>151</v>
      </c>
      <c r="E214" s="56"/>
      <c r="F214" s="57"/>
      <c r="G214" s="58"/>
      <c r="H214" s="35"/>
      <c r="I214" s="35"/>
      <c r="J214" s="43"/>
      <c r="K214" s="24"/>
      <c r="L214" s="44"/>
      <c r="M214" s="27"/>
      <c r="N214" s="27"/>
      <c r="O214" s="76"/>
      <c r="P214" s="59"/>
      <c r="Q214" s="59"/>
      <c r="T214" s="61"/>
    </row>
    <row r="215" spans="1:20" s="60" customFormat="1" x14ac:dyDescent="0.3">
      <c r="A215" s="45" t="str">
        <f>IF(F215&lt;&gt;"",1+MAX($A$5:A214),"")</f>
        <v/>
      </c>
      <c r="B215" s="106"/>
      <c r="C215" s="92" t="s">
        <v>214</v>
      </c>
      <c r="D215" s="55">
        <f>D214*97</f>
        <v>14647</v>
      </c>
      <c r="E215" s="56"/>
      <c r="F215" s="57"/>
      <c r="G215" s="58"/>
      <c r="H215" s="35"/>
      <c r="I215" s="35"/>
      <c r="J215" s="43"/>
      <c r="K215" s="24"/>
      <c r="L215" s="44"/>
      <c r="M215" s="27"/>
      <c r="N215" s="27"/>
      <c r="O215" s="76"/>
      <c r="P215" s="59"/>
      <c r="Q215" s="59"/>
      <c r="T215" s="61"/>
    </row>
    <row r="216" spans="1:20" s="60" customFormat="1" x14ac:dyDescent="0.3">
      <c r="A216" s="45" t="str">
        <f>IF(F216&lt;&gt;"",1+MAX($A$5:A215),"")</f>
        <v/>
      </c>
      <c r="B216" s="106"/>
      <c r="C216" s="92" t="s">
        <v>55</v>
      </c>
      <c r="D216" s="55">
        <f>D214</f>
        <v>151</v>
      </c>
      <c r="E216" s="56"/>
      <c r="F216" s="57"/>
      <c r="G216" s="58"/>
      <c r="H216" s="35"/>
      <c r="I216" s="35"/>
      <c r="J216" s="43"/>
      <c r="K216" s="24"/>
      <c r="L216" s="44"/>
      <c r="M216" s="27"/>
      <c r="N216" s="27"/>
      <c r="O216" s="76"/>
      <c r="P216" s="59"/>
      <c r="Q216" s="59"/>
      <c r="T216" s="61"/>
    </row>
    <row r="217" spans="1:20" s="60" customFormat="1" x14ac:dyDescent="0.3">
      <c r="A217" s="45" t="str">
        <f>IF(F217&lt;&gt;"",1+MAX($A$5:A216),"")</f>
        <v/>
      </c>
      <c r="B217" s="106"/>
      <c r="C217" s="92" t="s">
        <v>54</v>
      </c>
      <c r="D217" s="55">
        <f>D214*14</f>
        <v>2114</v>
      </c>
      <c r="E217" s="56"/>
      <c r="F217" s="57"/>
      <c r="G217" s="58"/>
      <c r="H217" s="35"/>
      <c r="I217" s="35"/>
      <c r="J217" s="43"/>
      <c r="K217" s="24"/>
      <c r="L217" s="44"/>
      <c r="M217" s="27"/>
      <c r="N217" s="27"/>
      <c r="O217" s="76"/>
      <c r="P217" s="59"/>
      <c r="Q217" s="59"/>
      <c r="T217" s="61"/>
    </row>
    <row r="218" spans="1:20" s="60" customFormat="1" x14ac:dyDescent="0.3">
      <c r="A218" s="45">
        <f>IF(F218&lt;&gt;"",1+MAX($A$5:A217),"")</f>
        <v>112</v>
      </c>
      <c r="B218" s="106"/>
      <c r="C218" s="38" t="s">
        <v>217</v>
      </c>
      <c r="D218" s="55">
        <v>45</v>
      </c>
      <c r="E218" s="56">
        <v>0.1</v>
      </c>
      <c r="F218" s="57">
        <f>(1+E218)*D218</f>
        <v>49.500000000000007</v>
      </c>
      <c r="G218" s="58" t="s">
        <v>5</v>
      </c>
      <c r="H218" s="35">
        <v>1.2560856</v>
      </c>
      <c r="I218" s="35">
        <f t="shared" ref="I218" si="183">H218*F218</f>
        <v>62.17623720000001</v>
      </c>
      <c r="J218" s="43">
        <v>2.8199999999999996E-2</v>
      </c>
      <c r="K218" s="24">
        <f>$N$144</f>
        <v>38</v>
      </c>
      <c r="L218" s="44">
        <f t="shared" ref="L218" si="184">J218*F218</f>
        <v>1.3958999999999999</v>
      </c>
      <c r="M218" s="27">
        <f t="shared" ref="M218" si="185">L218*K218</f>
        <v>53.044199999999996</v>
      </c>
      <c r="N218" s="27">
        <f t="shared" ref="N218" si="186">M218+I218</f>
        <v>115.22043720000001</v>
      </c>
      <c r="O218" s="76"/>
      <c r="P218" s="59"/>
      <c r="Q218" s="59"/>
      <c r="T218" s="61"/>
    </row>
    <row r="219" spans="1:20" s="60" customFormat="1" x14ac:dyDescent="0.3">
      <c r="A219" s="45" t="str">
        <f>IF(F219&lt;&gt;"",1+MAX($A$5:A218),"")</f>
        <v/>
      </c>
      <c r="B219" s="106"/>
      <c r="C219" s="92" t="s">
        <v>57</v>
      </c>
      <c r="D219" s="55">
        <f>ROUNDUP(F218/32,0)</f>
        <v>2</v>
      </c>
      <c r="E219" s="56"/>
      <c r="F219" s="57"/>
      <c r="G219" s="58"/>
      <c r="H219" s="35"/>
      <c r="I219" s="35"/>
      <c r="J219" s="43"/>
      <c r="K219" s="24"/>
      <c r="L219" s="44"/>
      <c r="M219" s="27"/>
      <c r="N219" s="27"/>
      <c r="O219" s="76"/>
      <c r="P219" s="59"/>
      <c r="Q219" s="59"/>
      <c r="T219" s="61"/>
    </row>
    <row r="220" spans="1:20" s="60" customFormat="1" x14ac:dyDescent="0.3">
      <c r="A220" s="45" t="str">
        <f>IF(F220&lt;&gt;"",1+MAX($A$5:A219),"")</f>
        <v/>
      </c>
      <c r="B220" s="106"/>
      <c r="C220" s="92" t="s">
        <v>214</v>
      </c>
      <c r="D220" s="55">
        <f>D219*97</f>
        <v>194</v>
      </c>
      <c r="E220" s="56"/>
      <c r="F220" s="57"/>
      <c r="G220" s="58"/>
      <c r="H220" s="35"/>
      <c r="I220" s="35"/>
      <c r="J220" s="43"/>
      <c r="K220" s="24"/>
      <c r="L220" s="44"/>
      <c r="M220" s="27"/>
      <c r="N220" s="27"/>
      <c r="O220" s="76"/>
      <c r="P220" s="59"/>
      <c r="Q220" s="59"/>
      <c r="T220" s="61"/>
    </row>
    <row r="221" spans="1:20" s="60" customFormat="1" x14ac:dyDescent="0.3">
      <c r="A221" s="45" t="str">
        <f>IF(F221&lt;&gt;"",1+MAX($A$5:A220),"")</f>
        <v/>
      </c>
      <c r="B221" s="106"/>
      <c r="C221" s="92" t="s">
        <v>55</v>
      </c>
      <c r="D221" s="55">
        <f>D219</f>
        <v>2</v>
      </c>
      <c r="E221" s="56"/>
      <c r="F221" s="57"/>
      <c r="G221" s="58"/>
      <c r="H221" s="35"/>
      <c r="I221" s="35"/>
      <c r="J221" s="43"/>
      <c r="K221" s="24"/>
      <c r="L221" s="44"/>
      <c r="M221" s="27"/>
      <c r="N221" s="27"/>
      <c r="O221" s="76"/>
      <c r="P221" s="59"/>
      <c r="Q221" s="59"/>
      <c r="T221" s="61"/>
    </row>
    <row r="222" spans="1:20" s="60" customFormat="1" x14ac:dyDescent="0.3">
      <c r="A222" s="45" t="str">
        <f>IF(F222&lt;&gt;"",1+MAX($A$5:A221),"")</f>
        <v/>
      </c>
      <c r="B222" s="106"/>
      <c r="C222" s="92" t="s">
        <v>54</v>
      </c>
      <c r="D222" s="55">
        <f>D219*14</f>
        <v>28</v>
      </c>
      <c r="E222" s="56"/>
      <c r="F222" s="57"/>
      <c r="G222" s="58"/>
      <c r="H222" s="35"/>
      <c r="I222" s="35"/>
      <c r="J222" s="43"/>
      <c r="K222" s="24"/>
      <c r="L222" s="44"/>
      <c r="M222" s="27"/>
      <c r="N222" s="27"/>
      <c r="O222" s="76"/>
      <c r="P222" s="59"/>
      <c r="Q222" s="59"/>
      <c r="T222" s="61"/>
    </row>
    <row r="223" spans="1:20" s="60" customFormat="1" x14ac:dyDescent="0.3">
      <c r="A223" s="45">
        <f>IF(F223&lt;&gt;"",1+MAX($A$5:A222),"")</f>
        <v>113</v>
      </c>
      <c r="B223" s="106"/>
      <c r="C223" s="38" t="s">
        <v>216</v>
      </c>
      <c r="D223" s="55">
        <v>1043.95</v>
      </c>
      <c r="E223" s="56">
        <v>0.1</v>
      </c>
      <c r="F223" s="57">
        <f>(1+E223)*D223</f>
        <v>1148.3450000000003</v>
      </c>
      <c r="G223" s="58" t="s">
        <v>5</v>
      </c>
      <c r="H223" s="35">
        <v>1.2560856</v>
      </c>
      <c r="I223" s="35">
        <f t="shared" ref="I223" si="187">H223*F223</f>
        <v>1442.4196183320003</v>
      </c>
      <c r="J223" s="43">
        <v>2.8199999999999996E-2</v>
      </c>
      <c r="K223" s="24">
        <f>$N$144</f>
        <v>38</v>
      </c>
      <c r="L223" s="44">
        <f t="shared" ref="L223" si="188">J223*F223</f>
        <v>32.383329000000003</v>
      </c>
      <c r="M223" s="27">
        <f t="shared" ref="M223" si="189">L223*K223</f>
        <v>1230.5665020000001</v>
      </c>
      <c r="N223" s="27">
        <f t="shared" ref="N223" si="190">M223+I223</f>
        <v>2672.9861203320006</v>
      </c>
      <c r="O223" s="76"/>
      <c r="P223" s="59"/>
      <c r="Q223" s="59"/>
      <c r="T223" s="61"/>
    </row>
    <row r="224" spans="1:20" s="60" customFormat="1" x14ac:dyDescent="0.3">
      <c r="A224" s="45" t="str">
        <f>IF(F224&lt;&gt;"",1+MAX($A$5:A223),"")</f>
        <v/>
      </c>
      <c r="B224" s="106"/>
      <c r="C224" s="92" t="s">
        <v>57</v>
      </c>
      <c r="D224" s="55">
        <f>ROUNDUP(F223/32,0)</f>
        <v>36</v>
      </c>
      <c r="E224" s="56"/>
      <c r="F224" s="57"/>
      <c r="G224" s="58"/>
      <c r="H224" s="35"/>
      <c r="I224" s="35"/>
      <c r="J224" s="43"/>
      <c r="K224" s="24"/>
      <c r="L224" s="44"/>
      <c r="M224" s="27"/>
      <c r="N224" s="27"/>
      <c r="O224" s="76"/>
      <c r="P224" s="59"/>
      <c r="Q224" s="59"/>
      <c r="T224" s="61"/>
    </row>
    <row r="225" spans="1:20" s="60" customFormat="1" x14ac:dyDescent="0.3">
      <c r="A225" s="45" t="str">
        <f>IF(F225&lt;&gt;"",1+MAX($A$5:A224),"")</f>
        <v/>
      </c>
      <c r="B225" s="106"/>
      <c r="C225" s="92" t="s">
        <v>214</v>
      </c>
      <c r="D225" s="55">
        <f>D224*97</f>
        <v>3492</v>
      </c>
      <c r="E225" s="56"/>
      <c r="F225" s="57"/>
      <c r="G225" s="58"/>
      <c r="H225" s="35"/>
      <c r="I225" s="35"/>
      <c r="J225" s="43"/>
      <c r="K225" s="24"/>
      <c r="L225" s="44"/>
      <c r="M225" s="27"/>
      <c r="N225" s="27"/>
      <c r="O225" s="76"/>
      <c r="P225" s="59"/>
      <c r="Q225" s="59"/>
      <c r="T225" s="61"/>
    </row>
    <row r="226" spans="1:20" s="60" customFormat="1" x14ac:dyDescent="0.3">
      <c r="A226" s="45" t="str">
        <f>IF(F226&lt;&gt;"",1+MAX($A$5:A225),"")</f>
        <v/>
      </c>
      <c r="B226" s="106"/>
      <c r="C226" s="92" t="s">
        <v>55</v>
      </c>
      <c r="D226" s="55">
        <f>D224</f>
        <v>36</v>
      </c>
      <c r="E226" s="56"/>
      <c r="F226" s="57"/>
      <c r="G226" s="58"/>
      <c r="H226" s="35"/>
      <c r="I226" s="35"/>
      <c r="J226" s="43"/>
      <c r="K226" s="24"/>
      <c r="L226" s="44"/>
      <c r="M226" s="27"/>
      <c r="N226" s="27"/>
      <c r="O226" s="76"/>
      <c r="P226" s="59"/>
      <c r="Q226" s="59"/>
      <c r="T226" s="61"/>
    </row>
    <row r="227" spans="1:20" s="60" customFormat="1" x14ac:dyDescent="0.3">
      <c r="A227" s="45" t="str">
        <f>IF(F227&lt;&gt;"",1+MAX($A$5:A226),"")</f>
        <v/>
      </c>
      <c r="B227" s="106"/>
      <c r="C227" s="92" t="s">
        <v>54</v>
      </c>
      <c r="D227" s="55">
        <f>D224*14</f>
        <v>504</v>
      </c>
      <c r="E227" s="56"/>
      <c r="F227" s="57"/>
      <c r="G227" s="58"/>
      <c r="H227" s="35"/>
      <c r="I227" s="35"/>
      <c r="J227" s="43"/>
      <c r="K227" s="24"/>
      <c r="L227" s="44"/>
      <c r="M227" s="27"/>
      <c r="N227" s="27"/>
      <c r="O227" s="76"/>
      <c r="P227" s="59"/>
      <c r="Q227" s="59"/>
      <c r="T227" s="61"/>
    </row>
    <row r="228" spans="1:20" s="60" customFormat="1" x14ac:dyDescent="0.3">
      <c r="A228" s="45">
        <f>IF(F228&lt;&gt;"",1+MAX($A$5:A227),"")</f>
        <v>114</v>
      </c>
      <c r="B228" s="106"/>
      <c r="C228" s="38" t="s">
        <v>215</v>
      </c>
      <c r="D228" s="55">
        <v>804.05</v>
      </c>
      <c r="E228" s="56">
        <v>0.1</v>
      </c>
      <c r="F228" s="57">
        <f>(1+E228)*D228</f>
        <v>884.45500000000004</v>
      </c>
      <c r="G228" s="58" t="s">
        <v>5</v>
      </c>
      <c r="H228" s="35">
        <v>1.2560856</v>
      </c>
      <c r="I228" s="35">
        <f t="shared" ref="I228" si="191">H228*F228</f>
        <v>1110.9511893480001</v>
      </c>
      <c r="J228" s="43">
        <v>2.8199999999999996E-2</v>
      </c>
      <c r="K228" s="24">
        <f>$N$144</f>
        <v>38</v>
      </c>
      <c r="L228" s="44">
        <f t="shared" ref="L228" si="192">J228*F228</f>
        <v>24.941630999999997</v>
      </c>
      <c r="M228" s="27">
        <f t="shared" ref="M228" si="193">L228*K228</f>
        <v>947.78197799999987</v>
      </c>
      <c r="N228" s="27">
        <f t="shared" ref="N228" si="194">M228+I228</f>
        <v>2058.7331673479998</v>
      </c>
      <c r="O228" s="76"/>
      <c r="P228" s="59"/>
      <c r="Q228" s="59"/>
      <c r="T228" s="61"/>
    </row>
    <row r="229" spans="1:20" s="60" customFormat="1" x14ac:dyDescent="0.3">
      <c r="A229" s="45" t="str">
        <f>IF(F229&lt;&gt;"",1+MAX($A$5:A228),"")</f>
        <v/>
      </c>
      <c r="B229" s="106"/>
      <c r="C229" s="92" t="s">
        <v>57</v>
      </c>
      <c r="D229" s="55">
        <f>ROUNDUP(F228/32,0)</f>
        <v>28</v>
      </c>
      <c r="E229" s="56"/>
      <c r="F229" s="57"/>
      <c r="G229" s="58"/>
      <c r="H229" s="35"/>
      <c r="I229" s="35"/>
      <c r="J229" s="43"/>
      <c r="K229" s="24"/>
      <c r="L229" s="44"/>
      <c r="M229" s="27"/>
      <c r="N229" s="27"/>
      <c r="O229" s="76"/>
      <c r="P229" s="59"/>
      <c r="Q229" s="59"/>
      <c r="T229" s="61"/>
    </row>
    <row r="230" spans="1:20" s="60" customFormat="1" x14ac:dyDescent="0.3">
      <c r="A230" s="45" t="str">
        <f>IF(F230&lt;&gt;"",1+MAX($A$5:A229),"")</f>
        <v/>
      </c>
      <c r="B230" s="106"/>
      <c r="C230" s="92" t="s">
        <v>214</v>
      </c>
      <c r="D230" s="55">
        <f>D229*97</f>
        <v>2716</v>
      </c>
      <c r="E230" s="56"/>
      <c r="F230" s="57"/>
      <c r="G230" s="58"/>
      <c r="H230" s="35"/>
      <c r="I230" s="35"/>
      <c r="J230" s="43"/>
      <c r="K230" s="24"/>
      <c r="L230" s="44"/>
      <c r="M230" s="27"/>
      <c r="N230" s="27"/>
      <c r="O230" s="76"/>
      <c r="P230" s="59"/>
      <c r="Q230" s="59"/>
      <c r="T230" s="61"/>
    </row>
    <row r="231" spans="1:20" s="60" customFormat="1" x14ac:dyDescent="0.3">
      <c r="A231" s="45" t="str">
        <f>IF(F231&lt;&gt;"",1+MAX($A$5:A230),"")</f>
        <v/>
      </c>
      <c r="B231" s="106"/>
      <c r="C231" s="92" t="s">
        <v>55</v>
      </c>
      <c r="D231" s="55">
        <f>D229</f>
        <v>28</v>
      </c>
      <c r="E231" s="56"/>
      <c r="F231" s="57"/>
      <c r="G231" s="58"/>
      <c r="H231" s="35"/>
      <c r="I231" s="35"/>
      <c r="J231" s="43"/>
      <c r="K231" s="24"/>
      <c r="L231" s="44"/>
      <c r="M231" s="27"/>
      <c r="N231" s="27"/>
      <c r="O231" s="76"/>
      <c r="P231" s="59"/>
      <c r="Q231" s="59"/>
      <c r="T231" s="61"/>
    </row>
    <row r="232" spans="1:20" s="60" customFormat="1" x14ac:dyDescent="0.3">
      <c r="A232" s="45" t="str">
        <f>IF(F232&lt;&gt;"",1+MAX($A$5:A231),"")</f>
        <v/>
      </c>
      <c r="B232" s="106"/>
      <c r="C232" s="92" t="s">
        <v>54</v>
      </c>
      <c r="D232" s="55">
        <f>D229*14</f>
        <v>392</v>
      </c>
      <c r="E232" s="56"/>
      <c r="F232" s="57"/>
      <c r="G232" s="58"/>
      <c r="H232" s="35"/>
      <c r="I232" s="35"/>
      <c r="J232" s="43"/>
      <c r="K232" s="24"/>
      <c r="L232" s="44"/>
      <c r="M232" s="27"/>
      <c r="N232" s="27"/>
      <c r="O232" s="76"/>
      <c r="P232" s="59"/>
      <c r="Q232" s="59"/>
      <c r="T232" s="61"/>
    </row>
    <row r="233" spans="1:20" s="60" customFormat="1" x14ac:dyDescent="0.3">
      <c r="A233" s="45">
        <f>IF(F233&lt;&gt;"",1+MAX($A$5:A232),"")</f>
        <v>115</v>
      </c>
      <c r="B233" s="106"/>
      <c r="C233" s="38" t="s">
        <v>219</v>
      </c>
      <c r="D233" s="55">
        <v>3155</v>
      </c>
      <c r="E233" s="56">
        <v>0.1</v>
      </c>
      <c r="F233" s="57">
        <f>(1+E233)*D233</f>
        <v>3470.5000000000005</v>
      </c>
      <c r="G233" s="58" t="s">
        <v>5</v>
      </c>
      <c r="H233" s="35">
        <v>2.521687</v>
      </c>
      <c r="I233" s="35">
        <f t="shared" ref="I233:I235" si="195">H233*F233</f>
        <v>8751.514733500002</v>
      </c>
      <c r="J233" s="43">
        <v>2.8199999999999996E-2</v>
      </c>
      <c r="K233" s="24">
        <f t="shared" ref="K233:K235" si="196">$N$144</f>
        <v>38</v>
      </c>
      <c r="L233" s="44">
        <f t="shared" ref="L233:L235" si="197">J233*F233</f>
        <v>97.868099999999998</v>
      </c>
      <c r="M233" s="27">
        <f t="shared" ref="M233:M235" si="198">L233*K233</f>
        <v>3718.9877999999999</v>
      </c>
      <c r="N233" s="27">
        <f t="shared" ref="N233:N235" si="199">M233+I233</f>
        <v>12470.502533500003</v>
      </c>
      <c r="O233" s="76"/>
      <c r="P233" s="59"/>
      <c r="Q233" s="59"/>
      <c r="T233" s="61"/>
    </row>
    <row r="234" spans="1:20" s="60" customFormat="1" x14ac:dyDescent="0.3">
      <c r="A234" s="45">
        <f>IF(F234&lt;&gt;"",1+MAX($A$5:A233),"")</f>
        <v>116</v>
      </c>
      <c r="B234" s="106"/>
      <c r="C234" s="38" t="s">
        <v>76</v>
      </c>
      <c r="D234" s="55">
        <f>4*315.55</f>
        <v>1262.2</v>
      </c>
      <c r="E234" s="56">
        <v>0.1</v>
      </c>
      <c r="F234" s="57">
        <f>(1+E234)*D234</f>
        <v>1388.42</v>
      </c>
      <c r="G234" s="58" t="s">
        <v>4</v>
      </c>
      <c r="H234" s="35">
        <v>0.41869519999999999</v>
      </c>
      <c r="I234" s="35">
        <f t="shared" si="195"/>
        <v>581.32478958399997</v>
      </c>
      <c r="J234" s="43">
        <v>4.2299999999999994E-3</v>
      </c>
      <c r="K234" s="24">
        <f t="shared" si="196"/>
        <v>38</v>
      </c>
      <c r="L234" s="44">
        <f t="shared" si="197"/>
        <v>5.8730165999999997</v>
      </c>
      <c r="M234" s="27">
        <f t="shared" si="198"/>
        <v>223.17463079999999</v>
      </c>
      <c r="N234" s="27">
        <f t="shared" si="199"/>
        <v>804.4994203839999</v>
      </c>
      <c r="O234" s="76"/>
      <c r="P234" s="59"/>
      <c r="Q234" s="59"/>
      <c r="T234" s="61"/>
    </row>
    <row r="235" spans="1:20" s="60" customFormat="1" x14ac:dyDescent="0.3">
      <c r="A235" s="45">
        <f>IF(F235&lt;&gt;"",1+MAX($A$5:A234),"")</f>
        <v>117</v>
      </c>
      <c r="B235" s="106"/>
      <c r="C235" s="38" t="s">
        <v>59</v>
      </c>
      <c r="D235" s="55">
        <v>81.040000000000006</v>
      </c>
      <c r="E235" s="56">
        <v>0.1</v>
      </c>
      <c r="F235" s="57">
        <f>(1+E235)*D235</f>
        <v>89.14400000000002</v>
      </c>
      <c r="G235" s="58" t="s">
        <v>4</v>
      </c>
      <c r="H235" s="35">
        <v>3.0450560000000002</v>
      </c>
      <c r="I235" s="35">
        <f t="shared" si="195"/>
        <v>271.4484720640001</v>
      </c>
      <c r="J235" s="43">
        <v>2.8199999999999996E-2</v>
      </c>
      <c r="K235" s="24">
        <f t="shared" si="196"/>
        <v>38</v>
      </c>
      <c r="L235" s="44">
        <f t="shared" si="197"/>
        <v>2.5138608000000002</v>
      </c>
      <c r="M235" s="27">
        <f t="shared" si="198"/>
        <v>95.526710400000013</v>
      </c>
      <c r="N235" s="27">
        <f t="shared" si="199"/>
        <v>366.97518246400011</v>
      </c>
      <c r="O235" s="76"/>
      <c r="P235" s="59"/>
      <c r="Q235" s="59"/>
      <c r="T235" s="61"/>
    </row>
    <row r="236" spans="1:20" s="60" customFormat="1" x14ac:dyDescent="0.3">
      <c r="A236" s="45" t="str">
        <f>IF(F236&lt;&gt;"",1+MAX($A$5:A235),"")</f>
        <v/>
      </c>
      <c r="B236" s="106"/>
      <c r="C236" s="38"/>
      <c r="D236" s="55"/>
      <c r="E236" s="56"/>
      <c r="F236" s="57"/>
      <c r="G236" s="58"/>
      <c r="H236" s="35"/>
      <c r="I236" s="35"/>
      <c r="J236" s="43"/>
      <c r="K236" s="24"/>
      <c r="L236" s="44"/>
      <c r="M236" s="27"/>
      <c r="N236" s="27"/>
      <c r="O236" s="76"/>
      <c r="P236" s="59"/>
      <c r="Q236" s="59"/>
      <c r="T236" s="61"/>
    </row>
    <row r="237" spans="1:20" s="60" customFormat="1" x14ac:dyDescent="0.3">
      <c r="A237" s="45" t="str">
        <f>IF(F237&lt;&gt;"",1+MAX($A$5:A236),"")</f>
        <v/>
      </c>
      <c r="B237" s="106"/>
      <c r="C237" s="94" t="s">
        <v>218</v>
      </c>
      <c r="D237" s="55"/>
      <c r="E237" s="56"/>
      <c r="F237" s="57"/>
      <c r="G237" s="58"/>
      <c r="H237" s="35"/>
      <c r="I237" s="35"/>
      <c r="J237" s="43"/>
      <c r="K237" s="24"/>
      <c r="L237" s="44"/>
      <c r="M237" s="27"/>
      <c r="N237" s="27"/>
      <c r="O237" s="76"/>
      <c r="P237" s="59"/>
      <c r="Q237" s="59"/>
      <c r="T237" s="61"/>
    </row>
    <row r="238" spans="1:20" s="60" customFormat="1" x14ac:dyDescent="0.3">
      <c r="A238" s="45">
        <f>IF(F238&lt;&gt;"",1+MAX($A$5:A237),"")</f>
        <v>118</v>
      </c>
      <c r="B238" s="106"/>
      <c r="C238" s="38" t="s">
        <v>211</v>
      </c>
      <c r="D238" s="55">
        <f>2*83+328</f>
        <v>494</v>
      </c>
      <c r="E238" s="56">
        <v>0.1</v>
      </c>
      <c r="F238" s="57">
        <f>(1+E238)*D238</f>
        <v>543.40000000000009</v>
      </c>
      <c r="G238" s="58" t="s">
        <v>5</v>
      </c>
      <c r="H238" s="35">
        <v>1.2560856</v>
      </c>
      <c r="I238" s="35">
        <f t="shared" ref="I238" si="200">H238*F238</f>
        <v>682.55691504000015</v>
      </c>
      <c r="J238" s="43">
        <v>2.8199999999999996E-2</v>
      </c>
      <c r="K238" s="24">
        <f>$N$144</f>
        <v>38</v>
      </c>
      <c r="L238" s="44">
        <f t="shared" ref="L238" si="201">J238*F238</f>
        <v>15.323880000000001</v>
      </c>
      <c r="M238" s="27">
        <f t="shared" ref="M238" si="202">L238*K238</f>
        <v>582.30744000000004</v>
      </c>
      <c r="N238" s="27">
        <f t="shared" ref="N238" si="203">M238+I238</f>
        <v>1264.8643550400002</v>
      </c>
      <c r="O238" s="76"/>
      <c r="P238" s="59"/>
      <c r="Q238" s="59"/>
      <c r="T238" s="61"/>
    </row>
    <row r="239" spans="1:20" s="60" customFormat="1" x14ac:dyDescent="0.3">
      <c r="A239" s="45" t="str">
        <f>IF(F239&lt;&gt;"",1+MAX($A$5:A238),"")</f>
        <v/>
      </c>
      <c r="B239" s="106"/>
      <c r="C239" s="92" t="s">
        <v>57</v>
      </c>
      <c r="D239" s="55">
        <f>ROUNDUP(F238/32,0)</f>
        <v>17</v>
      </c>
      <c r="E239" s="56"/>
      <c r="F239" s="57"/>
      <c r="G239" s="58"/>
      <c r="H239" s="35"/>
      <c r="I239" s="35"/>
      <c r="J239" s="43"/>
      <c r="K239" s="24"/>
      <c r="L239" s="44"/>
      <c r="M239" s="27"/>
      <c r="N239" s="27"/>
      <c r="O239" s="76"/>
      <c r="P239" s="59"/>
      <c r="Q239" s="59"/>
      <c r="T239" s="61"/>
    </row>
    <row r="240" spans="1:20" s="60" customFormat="1" x14ac:dyDescent="0.3">
      <c r="A240" s="45" t="str">
        <f>IF(F240&lt;&gt;"",1+MAX($A$5:A239),"")</f>
        <v/>
      </c>
      <c r="B240" s="106"/>
      <c r="C240" s="92" t="s">
        <v>214</v>
      </c>
      <c r="D240" s="55">
        <f>D239*97</f>
        <v>1649</v>
      </c>
      <c r="E240" s="56"/>
      <c r="F240" s="57"/>
      <c r="G240" s="58"/>
      <c r="H240" s="35"/>
      <c r="I240" s="35"/>
      <c r="J240" s="43"/>
      <c r="K240" s="24"/>
      <c r="L240" s="44"/>
      <c r="M240" s="27"/>
      <c r="N240" s="27"/>
      <c r="O240" s="76"/>
      <c r="P240" s="59"/>
      <c r="Q240" s="59"/>
      <c r="T240" s="61"/>
    </row>
    <row r="241" spans="1:20" s="60" customFormat="1" x14ac:dyDescent="0.3">
      <c r="A241" s="45" t="str">
        <f>IF(F241&lt;&gt;"",1+MAX($A$5:A240),"")</f>
        <v/>
      </c>
      <c r="B241" s="106"/>
      <c r="C241" s="92" t="s">
        <v>55</v>
      </c>
      <c r="D241" s="55">
        <f>D239</f>
        <v>17</v>
      </c>
      <c r="E241" s="56"/>
      <c r="F241" s="57"/>
      <c r="G241" s="58"/>
      <c r="H241" s="35"/>
      <c r="I241" s="35"/>
      <c r="J241" s="43"/>
      <c r="K241" s="24"/>
      <c r="L241" s="44"/>
      <c r="M241" s="27"/>
      <c r="N241" s="27"/>
      <c r="O241" s="76"/>
      <c r="P241" s="59"/>
      <c r="Q241" s="59"/>
      <c r="T241" s="61"/>
    </row>
    <row r="242" spans="1:20" s="60" customFormat="1" x14ac:dyDescent="0.3">
      <c r="A242" s="45" t="str">
        <f>IF(F242&lt;&gt;"",1+MAX($A$5:A241),"")</f>
        <v/>
      </c>
      <c r="B242" s="106"/>
      <c r="C242" s="92" t="s">
        <v>54</v>
      </c>
      <c r="D242" s="55">
        <f>D239*14</f>
        <v>238</v>
      </c>
      <c r="E242" s="56"/>
      <c r="F242" s="57"/>
      <c r="G242" s="58"/>
      <c r="H242" s="35"/>
      <c r="I242" s="35"/>
      <c r="J242" s="43"/>
      <c r="K242" s="24"/>
      <c r="L242" s="44"/>
      <c r="M242" s="27"/>
      <c r="N242" s="27"/>
      <c r="O242" s="76"/>
      <c r="P242" s="59"/>
      <c r="Q242" s="59"/>
      <c r="T242" s="61"/>
    </row>
    <row r="243" spans="1:20" s="60" customFormat="1" x14ac:dyDescent="0.3">
      <c r="A243" s="45">
        <f>IF(F243&lt;&gt;"",1+MAX($A$5:A242),"")</f>
        <v>119</v>
      </c>
      <c r="B243" s="106"/>
      <c r="C243" s="38" t="s">
        <v>217</v>
      </c>
      <c r="D243" s="55">
        <v>222</v>
      </c>
      <c r="E243" s="56">
        <v>0.1</v>
      </c>
      <c r="F243" s="57">
        <f>(1+E243)*D243</f>
        <v>244.20000000000002</v>
      </c>
      <c r="G243" s="58" t="s">
        <v>5</v>
      </c>
      <c r="H243" s="35">
        <v>1.2560856</v>
      </c>
      <c r="I243" s="35">
        <f t="shared" ref="I243" si="204">H243*F243</f>
        <v>306.73610352000003</v>
      </c>
      <c r="J243" s="43">
        <v>2.8199999999999996E-2</v>
      </c>
      <c r="K243" s="24">
        <f>$N$144</f>
        <v>38</v>
      </c>
      <c r="L243" s="44">
        <f t="shared" ref="L243" si="205">J243*F243</f>
        <v>6.8864399999999995</v>
      </c>
      <c r="M243" s="27">
        <f t="shared" ref="M243" si="206">L243*K243</f>
        <v>261.68471999999997</v>
      </c>
      <c r="N243" s="27">
        <f t="shared" ref="N243" si="207">M243+I243</f>
        <v>568.42082352</v>
      </c>
      <c r="O243" s="76"/>
      <c r="P243" s="59"/>
      <c r="Q243" s="59"/>
      <c r="T243" s="61"/>
    </row>
    <row r="244" spans="1:20" s="60" customFormat="1" x14ac:dyDescent="0.3">
      <c r="A244" s="45" t="str">
        <f>IF(F244&lt;&gt;"",1+MAX($A$5:A243),"")</f>
        <v/>
      </c>
      <c r="B244" s="106"/>
      <c r="C244" s="92" t="s">
        <v>57</v>
      </c>
      <c r="D244" s="55">
        <f>ROUNDUP(F243/32,0)</f>
        <v>8</v>
      </c>
      <c r="E244" s="56"/>
      <c r="F244" s="57"/>
      <c r="G244" s="58"/>
      <c r="H244" s="35"/>
      <c r="I244" s="35"/>
      <c r="J244" s="43"/>
      <c r="K244" s="24"/>
      <c r="L244" s="44"/>
      <c r="M244" s="27"/>
      <c r="N244" s="27"/>
      <c r="O244" s="76"/>
      <c r="P244" s="59"/>
      <c r="Q244" s="59"/>
      <c r="T244" s="61"/>
    </row>
    <row r="245" spans="1:20" s="60" customFormat="1" x14ac:dyDescent="0.3">
      <c r="A245" s="45" t="str">
        <f>IF(F245&lt;&gt;"",1+MAX($A$5:A244),"")</f>
        <v/>
      </c>
      <c r="B245" s="106"/>
      <c r="C245" s="92" t="s">
        <v>214</v>
      </c>
      <c r="D245" s="55">
        <f>D244*97</f>
        <v>776</v>
      </c>
      <c r="E245" s="56"/>
      <c r="F245" s="57"/>
      <c r="G245" s="58"/>
      <c r="H245" s="35"/>
      <c r="I245" s="35"/>
      <c r="J245" s="43"/>
      <c r="K245" s="24"/>
      <c r="L245" s="44"/>
      <c r="M245" s="27"/>
      <c r="N245" s="27"/>
      <c r="O245" s="76"/>
      <c r="P245" s="59"/>
      <c r="Q245" s="59"/>
      <c r="T245" s="61"/>
    </row>
    <row r="246" spans="1:20" s="60" customFormat="1" x14ac:dyDescent="0.3">
      <c r="A246" s="45" t="str">
        <f>IF(F246&lt;&gt;"",1+MAX($A$5:A245),"")</f>
        <v/>
      </c>
      <c r="B246" s="106"/>
      <c r="C246" s="92" t="s">
        <v>55</v>
      </c>
      <c r="D246" s="55">
        <f>D244</f>
        <v>8</v>
      </c>
      <c r="E246" s="56"/>
      <c r="F246" s="57"/>
      <c r="G246" s="58"/>
      <c r="H246" s="35"/>
      <c r="I246" s="35"/>
      <c r="J246" s="43"/>
      <c r="K246" s="24"/>
      <c r="L246" s="44"/>
      <c r="M246" s="27"/>
      <c r="N246" s="27"/>
      <c r="O246" s="76"/>
      <c r="P246" s="59"/>
      <c r="Q246" s="59"/>
      <c r="T246" s="61"/>
    </row>
    <row r="247" spans="1:20" s="60" customFormat="1" x14ac:dyDescent="0.3">
      <c r="A247" s="45" t="str">
        <f>IF(F247&lt;&gt;"",1+MAX($A$5:A246),"")</f>
        <v/>
      </c>
      <c r="B247" s="106"/>
      <c r="C247" s="92" t="s">
        <v>54</v>
      </c>
      <c r="D247" s="55">
        <f>D244*14</f>
        <v>112</v>
      </c>
      <c r="E247" s="56"/>
      <c r="F247" s="57"/>
      <c r="G247" s="58"/>
      <c r="H247" s="35"/>
      <c r="I247" s="35"/>
      <c r="J247" s="43"/>
      <c r="K247" s="24"/>
      <c r="L247" s="44"/>
      <c r="M247" s="27"/>
      <c r="N247" s="27"/>
      <c r="O247" s="76"/>
      <c r="P247" s="59"/>
      <c r="Q247" s="59"/>
      <c r="T247" s="61"/>
    </row>
    <row r="248" spans="1:20" s="60" customFormat="1" x14ac:dyDescent="0.3">
      <c r="A248" s="45">
        <f>IF(F248&lt;&gt;"",1+MAX($A$5:A247),"")</f>
        <v>120</v>
      </c>
      <c r="B248" s="106"/>
      <c r="C248" s="38" t="s">
        <v>216</v>
      </c>
      <c r="D248" s="55">
        <v>112.2</v>
      </c>
      <c r="E248" s="56">
        <v>0.1</v>
      </c>
      <c r="F248" s="57">
        <f>(1+E248)*D248</f>
        <v>123.42000000000002</v>
      </c>
      <c r="G248" s="58" t="s">
        <v>5</v>
      </c>
      <c r="H248" s="35">
        <v>1.2560856</v>
      </c>
      <c r="I248" s="35">
        <f t="shared" ref="I248" si="208">H248*F248</f>
        <v>155.02608475200003</v>
      </c>
      <c r="J248" s="43">
        <v>2.8199999999999996E-2</v>
      </c>
      <c r="K248" s="24">
        <f>$N$144</f>
        <v>38</v>
      </c>
      <c r="L248" s="44">
        <f t="shared" ref="L248" si="209">J248*F248</f>
        <v>3.4804439999999999</v>
      </c>
      <c r="M248" s="27">
        <f t="shared" ref="M248" si="210">L248*K248</f>
        <v>132.25687199999999</v>
      </c>
      <c r="N248" s="27">
        <f t="shared" ref="N248" si="211">M248+I248</f>
        <v>287.28295675200002</v>
      </c>
      <c r="O248" s="76"/>
      <c r="P248" s="59"/>
      <c r="Q248" s="59"/>
      <c r="T248" s="61"/>
    </row>
    <row r="249" spans="1:20" s="60" customFormat="1" x14ac:dyDescent="0.3">
      <c r="A249" s="45" t="str">
        <f>IF(F249&lt;&gt;"",1+MAX($A$5:A248),"")</f>
        <v/>
      </c>
      <c r="B249" s="106"/>
      <c r="C249" s="92" t="s">
        <v>57</v>
      </c>
      <c r="D249" s="55">
        <f>ROUNDUP(F248/32,0)</f>
        <v>4</v>
      </c>
      <c r="E249" s="56"/>
      <c r="F249" s="57"/>
      <c r="G249" s="58"/>
      <c r="H249" s="35"/>
      <c r="I249" s="35"/>
      <c r="J249" s="43"/>
      <c r="K249" s="24"/>
      <c r="L249" s="44"/>
      <c r="M249" s="27"/>
      <c r="N249" s="27"/>
      <c r="O249" s="76"/>
      <c r="P249" s="59"/>
      <c r="Q249" s="59"/>
      <c r="T249" s="61"/>
    </row>
    <row r="250" spans="1:20" s="60" customFormat="1" x14ac:dyDescent="0.3">
      <c r="A250" s="45" t="str">
        <f>IF(F250&lt;&gt;"",1+MAX($A$5:A249),"")</f>
        <v/>
      </c>
      <c r="B250" s="106"/>
      <c r="C250" s="92" t="s">
        <v>214</v>
      </c>
      <c r="D250" s="55">
        <f>D249*97</f>
        <v>388</v>
      </c>
      <c r="E250" s="56"/>
      <c r="F250" s="57"/>
      <c r="G250" s="58"/>
      <c r="H250" s="35"/>
      <c r="I250" s="35"/>
      <c r="J250" s="43"/>
      <c r="K250" s="24"/>
      <c r="L250" s="44"/>
      <c r="M250" s="27"/>
      <c r="N250" s="27"/>
      <c r="O250" s="76"/>
      <c r="P250" s="59"/>
      <c r="Q250" s="59"/>
      <c r="T250" s="61"/>
    </row>
    <row r="251" spans="1:20" s="60" customFormat="1" x14ac:dyDescent="0.3">
      <c r="A251" s="45" t="str">
        <f>IF(F251&lt;&gt;"",1+MAX($A$5:A250),"")</f>
        <v/>
      </c>
      <c r="B251" s="106"/>
      <c r="C251" s="92" t="s">
        <v>55</v>
      </c>
      <c r="D251" s="55">
        <f>D249</f>
        <v>4</v>
      </c>
      <c r="E251" s="56"/>
      <c r="F251" s="57"/>
      <c r="G251" s="58"/>
      <c r="H251" s="35"/>
      <c r="I251" s="35"/>
      <c r="J251" s="43"/>
      <c r="K251" s="24"/>
      <c r="L251" s="44"/>
      <c r="M251" s="27"/>
      <c r="N251" s="27"/>
      <c r="O251" s="76"/>
      <c r="P251" s="59"/>
      <c r="Q251" s="59"/>
      <c r="T251" s="61"/>
    </row>
    <row r="252" spans="1:20" s="60" customFormat="1" x14ac:dyDescent="0.3">
      <c r="A252" s="45" t="str">
        <f>IF(F252&lt;&gt;"",1+MAX($A$5:A251),"")</f>
        <v/>
      </c>
      <c r="B252" s="106"/>
      <c r="C252" s="92" t="s">
        <v>54</v>
      </c>
      <c r="D252" s="55">
        <f>D249*14</f>
        <v>56</v>
      </c>
      <c r="E252" s="56"/>
      <c r="F252" s="57"/>
      <c r="G252" s="58"/>
      <c r="H252" s="35"/>
      <c r="I252" s="35"/>
      <c r="J252" s="43"/>
      <c r="K252" s="24"/>
      <c r="L252" s="44"/>
      <c r="M252" s="27"/>
      <c r="N252" s="27"/>
      <c r="O252" s="76"/>
      <c r="P252" s="59"/>
      <c r="Q252" s="59"/>
      <c r="T252" s="61"/>
    </row>
    <row r="253" spans="1:20" s="60" customFormat="1" x14ac:dyDescent="0.3">
      <c r="A253" s="45">
        <f>IF(F253&lt;&gt;"",1+MAX($A$5:A252),"")</f>
        <v>121</v>
      </c>
      <c r="B253" s="106"/>
      <c r="C253" s="38" t="s">
        <v>215</v>
      </c>
      <c r="D253" s="55">
        <v>146.80000000000001</v>
      </c>
      <c r="E253" s="56">
        <v>0.1</v>
      </c>
      <c r="F253" s="57">
        <f>(1+E253)*D253</f>
        <v>161.48000000000002</v>
      </c>
      <c r="G253" s="58" t="s">
        <v>5</v>
      </c>
      <c r="H253" s="35">
        <v>1.2560856</v>
      </c>
      <c r="I253" s="35">
        <f t="shared" ref="I253" si="212">H253*F253</f>
        <v>202.83270268800004</v>
      </c>
      <c r="J253" s="43">
        <v>2.8199999999999996E-2</v>
      </c>
      <c r="K253" s="24">
        <f>$N$144</f>
        <v>38</v>
      </c>
      <c r="L253" s="44">
        <f t="shared" ref="L253" si="213">J253*F253</f>
        <v>4.5537359999999998</v>
      </c>
      <c r="M253" s="27">
        <f t="shared" ref="M253" si="214">L253*K253</f>
        <v>173.041968</v>
      </c>
      <c r="N253" s="27">
        <f t="shared" ref="N253" si="215">M253+I253</f>
        <v>375.87467068800004</v>
      </c>
      <c r="O253" s="76"/>
      <c r="P253" s="59"/>
      <c r="Q253" s="59"/>
      <c r="T253" s="61"/>
    </row>
    <row r="254" spans="1:20" s="60" customFormat="1" x14ac:dyDescent="0.3">
      <c r="A254" s="45" t="str">
        <f>IF(F254&lt;&gt;"",1+MAX($A$5:A253),"")</f>
        <v/>
      </c>
      <c r="B254" s="106"/>
      <c r="C254" s="92" t="s">
        <v>57</v>
      </c>
      <c r="D254" s="55">
        <f>ROUNDUP(F253/32,0)</f>
        <v>6</v>
      </c>
      <c r="E254" s="56"/>
      <c r="F254" s="57"/>
      <c r="G254" s="58"/>
      <c r="H254" s="35"/>
      <c r="I254" s="35"/>
      <c r="J254" s="43"/>
      <c r="K254" s="24"/>
      <c r="L254" s="44"/>
      <c r="M254" s="27"/>
      <c r="N254" s="27"/>
      <c r="O254" s="76"/>
      <c r="P254" s="59"/>
      <c r="Q254" s="59"/>
      <c r="T254" s="61"/>
    </row>
    <row r="255" spans="1:20" s="60" customFormat="1" x14ac:dyDescent="0.3">
      <c r="A255" s="45" t="str">
        <f>IF(F255&lt;&gt;"",1+MAX($A$5:A254),"")</f>
        <v/>
      </c>
      <c r="B255" s="106"/>
      <c r="C255" s="92" t="s">
        <v>214</v>
      </c>
      <c r="D255" s="55">
        <f>D254*97</f>
        <v>582</v>
      </c>
      <c r="E255" s="56"/>
      <c r="F255" s="57"/>
      <c r="G255" s="58"/>
      <c r="H255" s="35"/>
      <c r="I255" s="35"/>
      <c r="J255" s="43"/>
      <c r="K255" s="24"/>
      <c r="L255" s="44"/>
      <c r="M255" s="27"/>
      <c r="N255" s="27"/>
      <c r="O255" s="76"/>
      <c r="P255" s="59"/>
      <c r="Q255" s="59"/>
      <c r="T255" s="61"/>
    </row>
    <row r="256" spans="1:20" s="60" customFormat="1" x14ac:dyDescent="0.3">
      <c r="A256" s="45" t="str">
        <f>IF(F256&lt;&gt;"",1+MAX($A$5:A255),"")</f>
        <v/>
      </c>
      <c r="B256" s="106"/>
      <c r="C256" s="92" t="s">
        <v>55</v>
      </c>
      <c r="D256" s="55">
        <f>D254</f>
        <v>6</v>
      </c>
      <c r="E256" s="56"/>
      <c r="F256" s="57"/>
      <c r="G256" s="58"/>
      <c r="H256" s="35"/>
      <c r="I256" s="35"/>
      <c r="J256" s="43"/>
      <c r="K256" s="24"/>
      <c r="L256" s="44"/>
      <c r="M256" s="27"/>
      <c r="N256" s="27"/>
      <c r="O256" s="76"/>
      <c r="P256" s="59"/>
      <c r="Q256" s="59"/>
      <c r="T256" s="61"/>
    </row>
    <row r="257" spans="1:20" s="60" customFormat="1" x14ac:dyDescent="0.3">
      <c r="A257" s="45" t="str">
        <f>IF(F257&lt;&gt;"",1+MAX($A$5:A256),"")</f>
        <v/>
      </c>
      <c r="B257" s="106"/>
      <c r="C257" s="92" t="s">
        <v>54</v>
      </c>
      <c r="D257" s="55">
        <f>D254*14</f>
        <v>84</v>
      </c>
      <c r="E257" s="56"/>
      <c r="F257" s="57"/>
      <c r="G257" s="58"/>
      <c r="H257" s="35"/>
      <c r="I257" s="35"/>
      <c r="J257" s="43"/>
      <c r="K257" s="24"/>
      <c r="L257" s="44"/>
      <c r="M257" s="27"/>
      <c r="N257" s="27"/>
      <c r="O257" s="76"/>
      <c r="P257" s="59"/>
      <c r="Q257" s="59"/>
      <c r="T257" s="61"/>
    </row>
    <row r="258" spans="1:20" s="60" customFormat="1" x14ac:dyDescent="0.3">
      <c r="A258" s="45">
        <f>IF(F258&lt;&gt;"",1+MAX($A$5:A257),"")</f>
        <v>122</v>
      </c>
      <c r="B258" s="106"/>
      <c r="C258" s="38" t="s">
        <v>213</v>
      </c>
      <c r="D258" s="55">
        <v>527</v>
      </c>
      <c r="E258" s="56">
        <v>0.1</v>
      </c>
      <c r="F258" s="57">
        <f>(1+E258)*D258</f>
        <v>579.70000000000005</v>
      </c>
      <c r="G258" s="58" t="s">
        <v>5</v>
      </c>
      <c r="H258" s="35">
        <v>2.7500662</v>
      </c>
      <c r="I258" s="35">
        <f t="shared" ref="I258:I260" si="216">H258*F258</f>
        <v>1594.21337614</v>
      </c>
      <c r="J258" s="43">
        <v>3.1960000000000002E-2</v>
      </c>
      <c r="K258" s="24">
        <f t="shared" ref="K258:K260" si="217">$N$144</f>
        <v>38</v>
      </c>
      <c r="L258" s="44">
        <f t="shared" ref="L258:L260" si="218">J258*F258</f>
        <v>18.527212000000002</v>
      </c>
      <c r="M258" s="27">
        <f t="shared" ref="M258:M260" si="219">L258*K258</f>
        <v>704.03405600000008</v>
      </c>
      <c r="N258" s="27">
        <f t="shared" ref="N258:N260" si="220">M258+I258</f>
        <v>2298.24743214</v>
      </c>
      <c r="O258" s="76"/>
      <c r="P258" s="59"/>
      <c r="Q258" s="59"/>
      <c r="T258" s="61"/>
    </row>
    <row r="259" spans="1:20" s="60" customFormat="1" x14ac:dyDescent="0.3">
      <c r="A259" s="45">
        <f>IF(F259&lt;&gt;"",1+MAX($A$5:A258),"")</f>
        <v>123</v>
      </c>
      <c r="B259" s="106"/>
      <c r="C259" s="38" t="s">
        <v>76</v>
      </c>
      <c r="D259" s="55">
        <f>4*52.59</f>
        <v>210.36</v>
      </c>
      <c r="E259" s="56">
        <v>0.1</v>
      </c>
      <c r="F259" s="57">
        <f>(1+E259)*D259</f>
        <v>231.39600000000004</v>
      </c>
      <c r="G259" s="58" t="s">
        <v>4</v>
      </c>
      <c r="H259" s="35">
        <v>0.41869519999999999</v>
      </c>
      <c r="I259" s="35">
        <f t="shared" si="216"/>
        <v>96.884394499200013</v>
      </c>
      <c r="J259" s="43">
        <v>4.2299999999999994E-3</v>
      </c>
      <c r="K259" s="24">
        <f t="shared" si="217"/>
        <v>38</v>
      </c>
      <c r="L259" s="44">
        <f t="shared" si="218"/>
        <v>0.97880507999999999</v>
      </c>
      <c r="M259" s="27">
        <f t="shared" si="219"/>
        <v>37.194593040000001</v>
      </c>
      <c r="N259" s="27">
        <f t="shared" si="220"/>
        <v>134.0789875392</v>
      </c>
      <c r="O259" s="76"/>
      <c r="P259" s="59"/>
      <c r="Q259" s="59"/>
      <c r="T259" s="61"/>
    </row>
    <row r="260" spans="1:20" s="60" customFormat="1" x14ac:dyDescent="0.3">
      <c r="A260" s="45">
        <f>IF(F260&lt;&gt;"",1+MAX($A$5:A259),"")</f>
        <v>124</v>
      </c>
      <c r="B260" s="106"/>
      <c r="C260" s="38" t="s">
        <v>59</v>
      </c>
      <c r="D260" s="55">
        <v>16.71</v>
      </c>
      <c r="E260" s="56">
        <v>0.1</v>
      </c>
      <c r="F260" s="57">
        <f>(1+E260)*D260</f>
        <v>18.381000000000004</v>
      </c>
      <c r="G260" s="58" t="s">
        <v>4</v>
      </c>
      <c r="H260" s="35">
        <v>3.0450560000000002</v>
      </c>
      <c r="I260" s="35">
        <f t="shared" si="216"/>
        <v>55.971174336000018</v>
      </c>
      <c r="J260" s="43">
        <v>2.8199999999999996E-2</v>
      </c>
      <c r="K260" s="24">
        <f t="shared" si="217"/>
        <v>38</v>
      </c>
      <c r="L260" s="44">
        <f t="shared" si="218"/>
        <v>0.51834420000000003</v>
      </c>
      <c r="M260" s="27">
        <f t="shared" si="219"/>
        <v>19.697079600000002</v>
      </c>
      <c r="N260" s="27">
        <f t="shared" si="220"/>
        <v>75.668253936000013</v>
      </c>
      <c r="O260" s="76"/>
      <c r="P260" s="59"/>
      <c r="Q260" s="59"/>
      <c r="T260" s="61"/>
    </row>
    <row r="261" spans="1:20" s="60" customFormat="1" x14ac:dyDescent="0.3">
      <c r="A261" s="45" t="str">
        <f>IF(F261&lt;&gt;"",1+MAX($A$5:A260),"")</f>
        <v/>
      </c>
      <c r="B261" s="106"/>
      <c r="C261" s="38"/>
      <c r="D261" s="55"/>
      <c r="E261" s="56"/>
      <c r="F261" s="57"/>
      <c r="G261" s="58"/>
      <c r="H261" s="35"/>
      <c r="I261" s="35"/>
      <c r="J261" s="43"/>
      <c r="K261" s="24"/>
      <c r="L261" s="44"/>
      <c r="M261" s="27"/>
      <c r="N261" s="27"/>
      <c r="O261" s="76"/>
      <c r="P261" s="59"/>
      <c r="Q261" s="59"/>
      <c r="T261" s="61"/>
    </row>
    <row r="262" spans="1:20" s="60" customFormat="1" x14ac:dyDescent="0.3">
      <c r="A262" s="45" t="str">
        <f>IF(F262&lt;&gt;"",1+MAX($A$5:A261),"")</f>
        <v/>
      </c>
      <c r="B262" s="106"/>
      <c r="C262" s="94" t="s">
        <v>212</v>
      </c>
      <c r="D262" s="55"/>
      <c r="E262" s="56"/>
      <c r="F262" s="57"/>
      <c r="G262" s="58"/>
      <c r="H262" s="35"/>
      <c r="I262" s="35"/>
      <c r="J262" s="43"/>
      <c r="K262" s="24"/>
      <c r="L262" s="44"/>
      <c r="M262" s="27"/>
      <c r="N262" s="27"/>
      <c r="O262" s="76"/>
      <c r="P262" s="59"/>
      <c r="Q262" s="59"/>
      <c r="T262" s="61"/>
    </row>
    <row r="263" spans="1:20" s="60" customFormat="1" x14ac:dyDescent="0.3">
      <c r="A263" s="45">
        <f>IF(F263&lt;&gt;"",1+MAX($A$5:A262),"")</f>
        <v>125</v>
      </c>
      <c r="B263" s="106"/>
      <c r="C263" s="38" t="s">
        <v>211</v>
      </c>
      <c r="D263" s="55">
        <f>2*45.64</f>
        <v>91.28</v>
      </c>
      <c r="E263" s="56">
        <v>0.1</v>
      </c>
      <c r="F263" s="57">
        <f>(1+E263)*D263</f>
        <v>100.40800000000002</v>
      </c>
      <c r="G263" s="58" t="s">
        <v>5</v>
      </c>
      <c r="H263" s="35">
        <v>1.2560856</v>
      </c>
      <c r="I263" s="35">
        <f t="shared" ref="I263" si="221">H263*F263</f>
        <v>126.12104292480002</v>
      </c>
      <c r="J263" s="43">
        <v>2.8199999999999996E-2</v>
      </c>
      <c r="K263" s="24">
        <f>$N$144</f>
        <v>38</v>
      </c>
      <c r="L263" s="44">
        <f t="shared" ref="L263" si="222">J263*F263</f>
        <v>2.8315055999999998</v>
      </c>
      <c r="M263" s="27">
        <f t="shared" ref="M263" si="223">L263*K263</f>
        <v>107.59721279999999</v>
      </c>
      <c r="N263" s="27">
        <f t="shared" ref="N263" si="224">M263+I263</f>
        <v>233.71825572480003</v>
      </c>
      <c r="O263" s="76"/>
      <c r="P263" s="59"/>
      <c r="Q263" s="59"/>
      <c r="T263" s="61"/>
    </row>
    <row r="264" spans="1:20" s="60" customFormat="1" x14ac:dyDescent="0.3">
      <c r="A264" s="45" t="str">
        <f>IF(F264&lt;&gt;"",1+MAX($A$5:A263),"")</f>
        <v/>
      </c>
      <c r="B264" s="106"/>
      <c r="C264" s="92" t="s">
        <v>57</v>
      </c>
      <c r="D264" s="55">
        <f>ROUNDUP(F263/32,0)</f>
        <v>4</v>
      </c>
      <c r="E264" s="56"/>
      <c r="F264" s="57"/>
      <c r="G264" s="58"/>
      <c r="H264" s="35"/>
      <c r="I264" s="35"/>
      <c r="J264" s="43"/>
      <c r="K264" s="24"/>
      <c r="L264" s="44"/>
      <c r="M264" s="27"/>
      <c r="N264" s="27"/>
      <c r="O264" s="76"/>
      <c r="P264" s="59"/>
      <c r="Q264" s="59"/>
      <c r="T264" s="61"/>
    </row>
    <row r="265" spans="1:20" s="60" customFormat="1" x14ac:dyDescent="0.3">
      <c r="A265" s="45" t="str">
        <f>IF(F265&lt;&gt;"",1+MAX($A$5:A264),"")</f>
        <v/>
      </c>
      <c r="B265" s="106"/>
      <c r="C265" s="92" t="s">
        <v>56</v>
      </c>
      <c r="D265" s="55">
        <f>D264*48</f>
        <v>192</v>
      </c>
      <c r="E265" s="56"/>
      <c r="F265" s="57"/>
      <c r="G265" s="58"/>
      <c r="H265" s="35"/>
      <c r="I265" s="35"/>
      <c r="J265" s="43"/>
      <c r="K265" s="24"/>
      <c r="L265" s="44"/>
      <c r="M265" s="27"/>
      <c r="N265" s="27"/>
      <c r="O265" s="76"/>
      <c r="P265" s="59"/>
      <c r="Q265" s="59"/>
      <c r="T265" s="61"/>
    </row>
    <row r="266" spans="1:20" s="60" customFormat="1" x14ac:dyDescent="0.3">
      <c r="A266" s="45" t="str">
        <f>IF(F266&lt;&gt;"",1+MAX($A$5:A265),"")</f>
        <v/>
      </c>
      <c r="B266" s="106"/>
      <c r="C266" s="92" t="s">
        <v>55</v>
      </c>
      <c r="D266" s="55">
        <f>D264</f>
        <v>4</v>
      </c>
      <c r="E266" s="56"/>
      <c r="F266" s="57"/>
      <c r="G266" s="58"/>
      <c r="H266" s="35"/>
      <c r="I266" s="35"/>
      <c r="J266" s="43"/>
      <c r="K266" s="24"/>
      <c r="L266" s="44"/>
      <c r="M266" s="27"/>
      <c r="N266" s="27"/>
      <c r="O266" s="76"/>
      <c r="P266" s="59"/>
      <c r="Q266" s="59"/>
      <c r="T266" s="61"/>
    </row>
    <row r="267" spans="1:20" s="60" customFormat="1" x14ac:dyDescent="0.3">
      <c r="A267" s="45" t="str">
        <f>IF(F267&lt;&gt;"",1+MAX($A$5:A266),"")</f>
        <v/>
      </c>
      <c r="B267" s="106"/>
      <c r="C267" s="92" t="s">
        <v>54</v>
      </c>
      <c r="D267" s="55">
        <f>D264*14</f>
        <v>56</v>
      </c>
      <c r="E267" s="56"/>
      <c r="F267" s="57"/>
      <c r="G267" s="58"/>
      <c r="H267" s="35"/>
      <c r="I267" s="35"/>
      <c r="J267" s="43"/>
      <c r="K267" s="24"/>
      <c r="L267" s="44"/>
      <c r="M267" s="27"/>
      <c r="N267" s="27"/>
      <c r="O267" s="76"/>
      <c r="P267" s="59"/>
      <c r="Q267" s="59"/>
      <c r="T267" s="61"/>
    </row>
    <row r="268" spans="1:20" s="60" customFormat="1" x14ac:dyDescent="0.3">
      <c r="A268" s="45">
        <f>IF(F268&lt;&gt;"",1+MAX($A$5:A267),"")</f>
        <v>126</v>
      </c>
      <c r="B268" s="106"/>
      <c r="C268" s="38" t="s">
        <v>210</v>
      </c>
      <c r="D268" s="55">
        <v>45.64</v>
      </c>
      <c r="E268" s="56">
        <v>0.1</v>
      </c>
      <c r="F268" s="57">
        <f>(1+E268)*D268</f>
        <v>50.204000000000008</v>
      </c>
      <c r="G268" s="58" t="s">
        <v>5</v>
      </c>
      <c r="H268" s="35">
        <v>2.521687</v>
      </c>
      <c r="I268" s="35">
        <f t="shared" ref="I268:I269" si="225">H268*F268</f>
        <v>126.59877414800002</v>
      </c>
      <c r="J268" s="43">
        <v>2.8199999999999996E-2</v>
      </c>
      <c r="K268" s="24">
        <f t="shared" ref="K268:K269" si="226">$N$144</f>
        <v>38</v>
      </c>
      <c r="L268" s="44">
        <f t="shared" ref="L268:L269" si="227">J268*F268</f>
        <v>1.4157527999999999</v>
      </c>
      <c r="M268" s="27">
        <f t="shared" ref="M268:M269" si="228">L268*K268</f>
        <v>53.798606399999997</v>
      </c>
      <c r="N268" s="27">
        <f t="shared" ref="N268:N269" si="229">M268+I268</f>
        <v>180.397380548</v>
      </c>
      <c r="O268" s="76"/>
      <c r="P268" s="59"/>
      <c r="Q268" s="59"/>
      <c r="T268" s="61"/>
    </row>
    <row r="269" spans="1:20" s="60" customFormat="1" x14ac:dyDescent="0.3">
      <c r="A269" s="45">
        <f>IF(F269&lt;&gt;"",1+MAX($A$5:A268),"")</f>
        <v>127</v>
      </c>
      <c r="B269" s="106"/>
      <c r="C269" s="38" t="s">
        <v>76</v>
      </c>
      <c r="D269" s="55">
        <f>2*13.04</f>
        <v>26.08</v>
      </c>
      <c r="E269" s="56">
        <v>0.1</v>
      </c>
      <c r="F269" s="57">
        <f>(1+E269)*D269</f>
        <v>28.687999999999999</v>
      </c>
      <c r="G269" s="58" t="s">
        <v>4</v>
      </c>
      <c r="H269" s="35">
        <v>0.41869519999999999</v>
      </c>
      <c r="I269" s="35">
        <f t="shared" si="225"/>
        <v>12.011527897599999</v>
      </c>
      <c r="J269" s="43">
        <v>4.2299999999999994E-3</v>
      </c>
      <c r="K269" s="24">
        <f t="shared" si="226"/>
        <v>38</v>
      </c>
      <c r="L269" s="44">
        <f t="shared" si="227"/>
        <v>0.12135023999999998</v>
      </c>
      <c r="M269" s="27">
        <f t="shared" si="228"/>
        <v>4.6113091199999996</v>
      </c>
      <c r="N269" s="27">
        <f t="shared" si="229"/>
        <v>16.622837017599998</v>
      </c>
      <c r="O269" s="76"/>
      <c r="P269" s="59"/>
      <c r="Q269" s="59"/>
      <c r="T269" s="61"/>
    </row>
    <row r="270" spans="1:20" s="60" customFormat="1" x14ac:dyDescent="0.3">
      <c r="A270" s="45" t="str">
        <f>IF(F270&lt;&gt;"",1+MAX($A$5:A269),"")</f>
        <v/>
      </c>
      <c r="B270" s="106"/>
      <c r="C270" s="38"/>
      <c r="D270" s="55"/>
      <c r="E270" s="56"/>
      <c r="F270" s="57"/>
      <c r="G270" s="58"/>
      <c r="H270" s="35"/>
      <c r="I270" s="35"/>
      <c r="J270" s="43"/>
      <c r="K270" s="24"/>
      <c r="L270" s="44"/>
      <c r="M270" s="27"/>
      <c r="N270" s="27"/>
      <c r="O270" s="76"/>
      <c r="P270" s="59"/>
      <c r="Q270" s="59"/>
      <c r="T270" s="61"/>
    </row>
    <row r="271" spans="1:20" s="60" customFormat="1" x14ac:dyDescent="0.3">
      <c r="A271" s="45" t="str">
        <f>IF(F271&lt;&gt;"",1+MAX($A$5:A270),"")</f>
        <v/>
      </c>
      <c r="B271" s="106"/>
      <c r="C271" s="86" t="s">
        <v>58</v>
      </c>
      <c r="D271" s="55"/>
      <c r="E271" s="56"/>
      <c r="F271" s="57"/>
      <c r="G271" s="58"/>
      <c r="H271" s="35"/>
      <c r="I271" s="35"/>
      <c r="J271" s="43"/>
      <c r="K271" s="24"/>
      <c r="L271" s="44"/>
      <c r="M271" s="27"/>
      <c r="N271" s="27"/>
      <c r="O271" s="76"/>
      <c r="P271" s="59"/>
      <c r="Q271" s="59"/>
      <c r="T271" s="61"/>
    </row>
    <row r="272" spans="1:20" s="60" customFormat="1" x14ac:dyDescent="0.3">
      <c r="A272" s="45">
        <f>IF(F272&lt;&gt;"",1+MAX($A$5:A271),"")</f>
        <v>128</v>
      </c>
      <c r="B272" s="106"/>
      <c r="C272" s="38" t="s">
        <v>209</v>
      </c>
      <c r="D272" s="55">
        <v>1934</v>
      </c>
      <c r="E272" s="56">
        <v>0.1</v>
      </c>
      <c r="F272" s="57">
        <f>(1+E272)*D272</f>
        <v>2127.4</v>
      </c>
      <c r="G272" s="58" t="s">
        <v>5</v>
      </c>
      <c r="H272" s="35">
        <v>1.2560856</v>
      </c>
      <c r="I272" s="35">
        <f t="shared" ref="I272" si="230">H272*F272</f>
        <v>2672.1965054400002</v>
      </c>
      <c r="J272" s="43">
        <v>3.7600000000000001E-2</v>
      </c>
      <c r="K272" s="24">
        <f>$N$144</f>
        <v>38</v>
      </c>
      <c r="L272" s="44">
        <f t="shared" ref="L272" si="231">J272*F272</f>
        <v>79.99024</v>
      </c>
      <c r="M272" s="27">
        <f t="shared" ref="M272" si="232">L272*K272</f>
        <v>3039.6291200000001</v>
      </c>
      <c r="N272" s="27">
        <f t="shared" ref="N272" si="233">M272+I272</f>
        <v>5711.8256254400003</v>
      </c>
      <c r="O272" s="76"/>
      <c r="P272" s="59"/>
      <c r="Q272" s="59"/>
      <c r="T272" s="61"/>
    </row>
    <row r="273" spans="1:20" s="60" customFormat="1" x14ac:dyDescent="0.3">
      <c r="A273" s="45" t="str">
        <f>IF(F273&lt;&gt;"",1+MAX($A$5:A272),"")</f>
        <v/>
      </c>
      <c r="B273" s="106"/>
      <c r="C273" s="92" t="s">
        <v>57</v>
      </c>
      <c r="D273" s="55">
        <f>ROUNDUP(F272/32,0)</f>
        <v>67</v>
      </c>
      <c r="E273" s="56"/>
      <c r="F273" s="57"/>
      <c r="G273" s="58"/>
      <c r="H273" s="35"/>
      <c r="I273" s="35"/>
      <c r="J273" s="43"/>
      <c r="K273" s="24"/>
      <c r="L273" s="44"/>
      <c r="M273" s="27"/>
      <c r="N273" s="27"/>
      <c r="O273" s="76"/>
      <c r="P273" s="59"/>
      <c r="Q273" s="59"/>
      <c r="T273" s="61"/>
    </row>
    <row r="274" spans="1:20" s="60" customFormat="1" x14ac:dyDescent="0.3">
      <c r="A274" s="45" t="str">
        <f>IF(F274&lt;&gt;"",1+MAX($A$5:A273),"")</f>
        <v/>
      </c>
      <c r="B274" s="106"/>
      <c r="C274" s="92" t="s">
        <v>56</v>
      </c>
      <c r="D274" s="55">
        <f>D273*48</f>
        <v>3216</v>
      </c>
      <c r="E274" s="56"/>
      <c r="F274" s="57"/>
      <c r="G274" s="58"/>
      <c r="H274" s="35"/>
      <c r="I274" s="35"/>
      <c r="J274" s="43"/>
      <c r="K274" s="24"/>
      <c r="L274" s="44"/>
      <c r="M274" s="27"/>
      <c r="N274" s="27"/>
      <c r="O274" s="76"/>
      <c r="P274" s="59"/>
      <c r="Q274" s="59"/>
      <c r="T274" s="61"/>
    </row>
    <row r="275" spans="1:20" s="60" customFormat="1" x14ac:dyDescent="0.3">
      <c r="A275" s="45" t="str">
        <f>IF(F275&lt;&gt;"",1+MAX($A$5:A274),"")</f>
        <v/>
      </c>
      <c r="B275" s="106"/>
      <c r="C275" s="92" t="s">
        <v>55</v>
      </c>
      <c r="D275" s="55">
        <f>D273</f>
        <v>67</v>
      </c>
      <c r="E275" s="56"/>
      <c r="F275" s="57"/>
      <c r="G275" s="58"/>
      <c r="H275" s="35"/>
      <c r="I275" s="35"/>
      <c r="J275" s="43"/>
      <c r="K275" s="24"/>
      <c r="L275" s="44"/>
      <c r="M275" s="27"/>
      <c r="N275" s="27"/>
      <c r="O275" s="76"/>
      <c r="P275" s="59"/>
      <c r="Q275" s="59"/>
      <c r="T275" s="61"/>
    </row>
    <row r="276" spans="1:20" s="60" customFormat="1" x14ac:dyDescent="0.3">
      <c r="A276" s="45" t="str">
        <f>IF(F276&lt;&gt;"",1+MAX($A$5:A275),"")</f>
        <v/>
      </c>
      <c r="B276" s="106"/>
      <c r="C276" s="92" t="s">
        <v>54</v>
      </c>
      <c r="D276" s="55">
        <f>D273*14</f>
        <v>938</v>
      </c>
      <c r="E276" s="56"/>
      <c r="F276" s="57"/>
      <c r="G276" s="58"/>
      <c r="H276" s="35"/>
      <c r="I276" s="35"/>
      <c r="J276" s="43"/>
      <c r="K276" s="24"/>
      <c r="L276" s="44"/>
      <c r="M276" s="27"/>
      <c r="N276" s="27"/>
      <c r="O276" s="76"/>
      <c r="P276" s="59"/>
      <c r="Q276" s="59"/>
      <c r="T276" s="61"/>
    </row>
    <row r="277" spans="1:20" s="60" customFormat="1" x14ac:dyDescent="0.3">
      <c r="A277" s="45">
        <f>IF(F277&lt;&gt;"",1+MAX($A$5:A276),"")</f>
        <v>129</v>
      </c>
      <c r="B277" s="106"/>
      <c r="C277" s="38" t="s">
        <v>208</v>
      </c>
      <c r="D277" s="55">
        <v>563</v>
      </c>
      <c r="E277" s="56">
        <v>0.1</v>
      </c>
      <c r="F277" s="57">
        <f>(1+E277)*D277</f>
        <v>619.30000000000007</v>
      </c>
      <c r="G277" s="58" t="s">
        <v>5</v>
      </c>
      <c r="H277" s="35">
        <v>1.2560856</v>
      </c>
      <c r="I277" s="35">
        <f t="shared" ref="I277" si="234">H277*F277</f>
        <v>777.89381208000009</v>
      </c>
      <c r="J277" s="43">
        <v>3.7600000000000001E-2</v>
      </c>
      <c r="K277" s="24">
        <f>$N$144</f>
        <v>38</v>
      </c>
      <c r="L277" s="44">
        <f t="shared" ref="L277" si="235">J277*F277</f>
        <v>23.285680000000003</v>
      </c>
      <c r="M277" s="27">
        <f t="shared" ref="M277" si="236">L277*K277</f>
        <v>884.85584000000006</v>
      </c>
      <c r="N277" s="27">
        <f t="shared" ref="N277" si="237">M277+I277</f>
        <v>1662.74965208</v>
      </c>
      <c r="O277" s="76"/>
      <c r="P277" s="59"/>
      <c r="Q277" s="59"/>
      <c r="T277" s="61"/>
    </row>
    <row r="278" spans="1:20" s="60" customFormat="1" x14ac:dyDescent="0.3">
      <c r="A278" s="45" t="str">
        <f>IF(F278&lt;&gt;"",1+MAX($A$5:A277),"")</f>
        <v/>
      </c>
      <c r="B278" s="106"/>
      <c r="C278" s="92" t="s">
        <v>57</v>
      </c>
      <c r="D278" s="55">
        <f>ROUNDUP(F277/32,0)</f>
        <v>20</v>
      </c>
      <c r="E278" s="56"/>
      <c r="F278" s="57"/>
      <c r="G278" s="58"/>
      <c r="H278" s="35"/>
      <c r="I278" s="35"/>
      <c r="J278" s="43"/>
      <c r="K278" s="24"/>
      <c r="L278" s="44"/>
      <c r="M278" s="27"/>
      <c r="N278" s="27"/>
      <c r="O278" s="76"/>
      <c r="P278" s="59"/>
      <c r="Q278" s="59"/>
      <c r="T278" s="61"/>
    </row>
    <row r="279" spans="1:20" s="60" customFormat="1" x14ac:dyDescent="0.3">
      <c r="A279" s="45" t="str">
        <f>IF(F279&lt;&gt;"",1+MAX($A$5:A278),"")</f>
        <v/>
      </c>
      <c r="B279" s="106"/>
      <c r="C279" s="92" t="s">
        <v>56</v>
      </c>
      <c r="D279" s="55">
        <f>D278*48</f>
        <v>960</v>
      </c>
      <c r="E279" s="56"/>
      <c r="F279" s="57"/>
      <c r="G279" s="58"/>
      <c r="H279" s="35"/>
      <c r="I279" s="35"/>
      <c r="J279" s="43"/>
      <c r="K279" s="24"/>
      <c r="L279" s="44"/>
      <c r="M279" s="27"/>
      <c r="N279" s="27"/>
      <c r="O279" s="76"/>
      <c r="P279" s="59"/>
      <c r="Q279" s="59"/>
      <c r="T279" s="61"/>
    </row>
    <row r="280" spans="1:20" s="60" customFormat="1" x14ac:dyDescent="0.3">
      <c r="A280" s="45" t="str">
        <f>IF(F280&lt;&gt;"",1+MAX($A$5:A279),"")</f>
        <v/>
      </c>
      <c r="B280" s="106"/>
      <c r="C280" s="92" t="s">
        <v>55</v>
      </c>
      <c r="D280" s="55">
        <f>D278</f>
        <v>20</v>
      </c>
      <c r="E280" s="56"/>
      <c r="F280" s="57"/>
      <c r="G280" s="58"/>
      <c r="H280" s="35"/>
      <c r="I280" s="35"/>
      <c r="J280" s="43"/>
      <c r="K280" s="24"/>
      <c r="L280" s="44"/>
      <c r="M280" s="27"/>
      <c r="N280" s="27"/>
      <c r="O280" s="76"/>
      <c r="P280" s="59"/>
      <c r="Q280" s="59"/>
      <c r="T280" s="61"/>
    </row>
    <row r="281" spans="1:20" s="60" customFormat="1" x14ac:dyDescent="0.3">
      <c r="A281" s="45" t="str">
        <f>IF(F281&lt;&gt;"",1+MAX($A$5:A280),"")</f>
        <v/>
      </c>
      <c r="B281" s="106"/>
      <c r="C281" s="92" t="s">
        <v>54</v>
      </c>
      <c r="D281" s="55">
        <f>D278*14</f>
        <v>280</v>
      </c>
      <c r="E281" s="56"/>
      <c r="F281" s="57"/>
      <c r="G281" s="58"/>
      <c r="H281" s="35"/>
      <c r="I281" s="35"/>
      <c r="J281" s="43"/>
      <c r="K281" s="24"/>
      <c r="L281" s="44"/>
      <c r="M281" s="27"/>
      <c r="N281" s="27"/>
      <c r="O281" s="76"/>
      <c r="P281" s="59"/>
      <c r="Q281" s="59"/>
      <c r="T281" s="61"/>
    </row>
    <row r="282" spans="1:20" s="60" customFormat="1" x14ac:dyDescent="0.3">
      <c r="A282" s="45">
        <f>IF(F282&lt;&gt;"",1+MAX($A$5:A281),"")</f>
        <v>130</v>
      </c>
      <c r="B282" s="106"/>
      <c r="C282" s="38" t="s">
        <v>207</v>
      </c>
      <c r="D282" s="55">
        <v>1092</v>
      </c>
      <c r="E282" s="56">
        <v>0.1</v>
      </c>
      <c r="F282" s="57">
        <f>(1+E282)*D282</f>
        <v>1201.2</v>
      </c>
      <c r="G282" s="58" t="s">
        <v>5</v>
      </c>
      <c r="H282" s="35">
        <v>1.2560856</v>
      </c>
      <c r="I282" s="35">
        <f t="shared" ref="I282" si="238">H282*F282</f>
        <v>1508.81002272</v>
      </c>
      <c r="J282" s="43">
        <v>3.7600000000000001E-2</v>
      </c>
      <c r="K282" s="24">
        <f>$N$144</f>
        <v>38</v>
      </c>
      <c r="L282" s="44">
        <f t="shared" ref="L282" si="239">J282*F282</f>
        <v>45.165120000000002</v>
      </c>
      <c r="M282" s="27">
        <f t="shared" ref="M282" si="240">L282*K282</f>
        <v>1716.2745600000001</v>
      </c>
      <c r="N282" s="27">
        <f t="shared" ref="N282" si="241">M282+I282</f>
        <v>3225.0845827200001</v>
      </c>
      <c r="O282" s="76"/>
      <c r="P282" s="59"/>
      <c r="Q282" s="59"/>
      <c r="T282" s="61"/>
    </row>
    <row r="283" spans="1:20" s="60" customFormat="1" x14ac:dyDescent="0.3">
      <c r="A283" s="45" t="str">
        <f>IF(F283&lt;&gt;"",1+MAX($A$5:A282),"")</f>
        <v/>
      </c>
      <c r="B283" s="106"/>
      <c r="C283" s="92" t="s">
        <v>57</v>
      </c>
      <c r="D283" s="55">
        <f>ROUNDUP(F282/32,0)</f>
        <v>38</v>
      </c>
      <c r="E283" s="56"/>
      <c r="F283" s="57"/>
      <c r="G283" s="58"/>
      <c r="H283" s="35"/>
      <c r="I283" s="35"/>
      <c r="J283" s="43"/>
      <c r="K283" s="24"/>
      <c r="L283" s="44"/>
      <c r="M283" s="27"/>
      <c r="N283" s="27"/>
      <c r="O283" s="76"/>
      <c r="P283" s="59"/>
      <c r="Q283" s="59"/>
      <c r="T283" s="61"/>
    </row>
    <row r="284" spans="1:20" s="60" customFormat="1" x14ac:dyDescent="0.3">
      <c r="A284" s="45" t="str">
        <f>IF(F284&lt;&gt;"",1+MAX($A$5:A283),"")</f>
        <v/>
      </c>
      <c r="B284" s="106"/>
      <c r="C284" s="92" t="s">
        <v>56</v>
      </c>
      <c r="D284" s="55">
        <f>D283*48</f>
        <v>1824</v>
      </c>
      <c r="E284" s="56"/>
      <c r="F284" s="57"/>
      <c r="G284" s="58"/>
      <c r="H284" s="35"/>
      <c r="I284" s="35"/>
      <c r="J284" s="43"/>
      <c r="K284" s="24"/>
      <c r="L284" s="44"/>
      <c r="M284" s="27"/>
      <c r="N284" s="27"/>
      <c r="O284" s="76"/>
      <c r="P284" s="59"/>
      <c r="Q284" s="59"/>
      <c r="T284" s="61"/>
    </row>
    <row r="285" spans="1:20" s="60" customFormat="1" x14ac:dyDescent="0.3">
      <c r="A285" s="45" t="str">
        <f>IF(F285&lt;&gt;"",1+MAX($A$5:A284),"")</f>
        <v/>
      </c>
      <c r="B285" s="106"/>
      <c r="C285" s="92" t="s">
        <v>55</v>
      </c>
      <c r="D285" s="55">
        <f>D283</f>
        <v>38</v>
      </c>
      <c r="E285" s="56"/>
      <c r="F285" s="57"/>
      <c r="G285" s="58"/>
      <c r="H285" s="35"/>
      <c r="I285" s="35"/>
      <c r="J285" s="43"/>
      <c r="K285" s="24"/>
      <c r="L285" s="44"/>
      <c r="M285" s="27"/>
      <c r="N285" s="27"/>
      <c r="O285" s="76"/>
      <c r="P285" s="59"/>
      <c r="Q285" s="59"/>
      <c r="T285" s="61"/>
    </row>
    <row r="286" spans="1:20" s="60" customFormat="1" x14ac:dyDescent="0.3">
      <c r="A286" s="45" t="str">
        <f>IF(F286&lt;&gt;"",1+MAX($A$5:A285),"")</f>
        <v/>
      </c>
      <c r="B286" s="106"/>
      <c r="C286" s="92" t="s">
        <v>54</v>
      </c>
      <c r="D286" s="55">
        <f>D283*14</f>
        <v>532</v>
      </c>
      <c r="E286" s="56"/>
      <c r="F286" s="57"/>
      <c r="G286" s="58"/>
      <c r="H286" s="35"/>
      <c r="I286" s="35"/>
      <c r="J286" s="43"/>
      <c r="K286" s="24"/>
      <c r="L286" s="44"/>
      <c r="M286" s="27"/>
      <c r="N286" s="27"/>
      <c r="O286" s="76"/>
      <c r="P286" s="59"/>
      <c r="Q286" s="59"/>
      <c r="T286" s="61"/>
    </row>
    <row r="287" spans="1:20" s="60" customFormat="1" x14ac:dyDescent="0.3">
      <c r="A287" s="45">
        <f>IF(F287&lt;&gt;"",1+MAX($A$5:A286),"")</f>
        <v>131</v>
      </c>
      <c r="B287" s="106"/>
      <c r="C287" s="38" t="s">
        <v>146</v>
      </c>
      <c r="D287" s="55">
        <v>266</v>
      </c>
      <c r="E287" s="56">
        <v>0.1</v>
      </c>
      <c r="F287" s="57">
        <f>(1+E287)*D287</f>
        <v>292.60000000000002</v>
      </c>
      <c r="G287" s="58" t="s">
        <v>5</v>
      </c>
      <c r="H287" s="35">
        <v>0.64421965999999997</v>
      </c>
      <c r="I287" s="35">
        <f t="shared" ref="I287" si="242">H287*F287</f>
        <v>188.498672516</v>
      </c>
      <c r="J287" s="43">
        <v>1.128E-2</v>
      </c>
      <c r="K287" s="24">
        <f>$N$144</f>
        <v>38</v>
      </c>
      <c r="L287" s="44">
        <f t="shared" ref="L287" si="243">J287*F287</f>
        <v>3.3005280000000004</v>
      </c>
      <c r="M287" s="27">
        <f t="shared" ref="M287" si="244">L287*K287</f>
        <v>125.42006400000001</v>
      </c>
      <c r="N287" s="27">
        <f t="shared" ref="N287" si="245">M287+I287</f>
        <v>313.91873651600002</v>
      </c>
      <c r="O287" s="76"/>
      <c r="P287" s="59"/>
      <c r="Q287" s="59"/>
      <c r="T287" s="61"/>
    </row>
    <row r="288" spans="1:20" s="60" customFormat="1" x14ac:dyDescent="0.3">
      <c r="A288" s="45" t="str">
        <f>IF(F288&lt;&gt;"",1+MAX($A$5:A287),"")</f>
        <v/>
      </c>
      <c r="B288" s="106"/>
      <c r="C288" s="38"/>
      <c r="D288" s="55"/>
      <c r="E288" s="56"/>
      <c r="F288" s="57"/>
      <c r="G288" s="58"/>
      <c r="H288" s="35"/>
      <c r="I288" s="35"/>
      <c r="J288" s="43"/>
      <c r="K288" s="24"/>
      <c r="L288" s="44"/>
      <c r="M288" s="27"/>
      <c r="N288" s="27"/>
      <c r="O288" s="76"/>
      <c r="P288" s="59"/>
      <c r="Q288" s="59"/>
      <c r="T288" s="61"/>
    </row>
    <row r="289" spans="1:20" s="60" customFormat="1" x14ac:dyDescent="0.3">
      <c r="A289" s="45" t="str">
        <f>IF(F289&lt;&gt;"",1+MAX($A$5:A288),"")</f>
        <v/>
      </c>
      <c r="B289" s="106"/>
      <c r="C289" s="86" t="s">
        <v>53</v>
      </c>
      <c r="D289" s="55"/>
      <c r="E289" s="56"/>
      <c r="F289" s="57"/>
      <c r="G289" s="58"/>
      <c r="H289" s="35"/>
      <c r="I289" s="35"/>
      <c r="J289" s="43"/>
      <c r="K289" s="24"/>
      <c r="L289" s="44"/>
      <c r="M289" s="27"/>
      <c r="N289" s="27"/>
      <c r="O289" s="76"/>
      <c r="P289" s="59"/>
      <c r="Q289" s="59"/>
      <c r="T289" s="61"/>
    </row>
    <row r="290" spans="1:20" s="60" customFormat="1" x14ac:dyDescent="0.3">
      <c r="A290" s="45">
        <f>IF(F290&lt;&gt;"",1+MAX($A$5:A289),"")</f>
        <v>132</v>
      </c>
      <c r="B290" s="106"/>
      <c r="C290" s="38" t="s">
        <v>201</v>
      </c>
      <c r="D290" s="55">
        <v>266</v>
      </c>
      <c r="E290" s="56">
        <v>0.1</v>
      </c>
      <c r="F290" s="57">
        <f t="shared" ref="F290:F305" si="246">(1+E290)*D290</f>
        <v>292.60000000000002</v>
      </c>
      <c r="G290" s="58" t="s">
        <v>5</v>
      </c>
      <c r="H290" s="35">
        <v>4.2535626000000004</v>
      </c>
      <c r="I290" s="35">
        <f t="shared" ref="I290:I305" si="247">H290*F290</f>
        <v>1244.5924167600001</v>
      </c>
      <c r="J290" s="43">
        <v>4.2769999999999996E-2</v>
      </c>
      <c r="K290" s="24">
        <f t="shared" ref="K290:K305" si="248">$N$144</f>
        <v>38</v>
      </c>
      <c r="L290" s="44">
        <f t="shared" ref="L290:L305" si="249">J290*F290</f>
        <v>12.514502</v>
      </c>
      <c r="M290" s="27">
        <f t="shared" ref="M290:M305" si="250">L290*K290</f>
        <v>475.55107600000002</v>
      </c>
      <c r="N290" s="27">
        <f t="shared" ref="N290:N305" si="251">M290+I290</f>
        <v>1720.1434927600001</v>
      </c>
      <c r="O290" s="76"/>
      <c r="P290" s="59"/>
      <c r="Q290" s="59"/>
      <c r="T290" s="61"/>
    </row>
    <row r="291" spans="1:20" s="60" customFormat="1" x14ac:dyDescent="0.3">
      <c r="A291" s="45">
        <f>IF(F291&lt;&gt;"",1+MAX($A$5:A290),"")</f>
        <v>133</v>
      </c>
      <c r="B291" s="106"/>
      <c r="C291" s="38" t="s">
        <v>200</v>
      </c>
      <c r="D291" s="55">
        <v>324</v>
      </c>
      <c r="E291" s="56">
        <v>0.1</v>
      </c>
      <c r="F291" s="57">
        <f t="shared" si="246"/>
        <v>356.40000000000003</v>
      </c>
      <c r="G291" s="58" t="s">
        <v>5</v>
      </c>
      <c r="H291" s="35">
        <v>5.1861109999999995</v>
      </c>
      <c r="I291" s="35">
        <f t="shared" si="247"/>
        <v>1848.3299603999999</v>
      </c>
      <c r="J291" s="43">
        <v>5.6399999999999992E-2</v>
      </c>
      <c r="K291" s="24">
        <f t="shared" si="248"/>
        <v>38</v>
      </c>
      <c r="L291" s="44">
        <f t="shared" si="249"/>
        <v>20.100960000000001</v>
      </c>
      <c r="M291" s="27">
        <f t="shared" si="250"/>
        <v>763.83648000000005</v>
      </c>
      <c r="N291" s="27">
        <f t="shared" si="251"/>
        <v>2612.1664403999998</v>
      </c>
      <c r="O291" s="76"/>
      <c r="P291" s="59"/>
      <c r="Q291" s="59"/>
      <c r="T291" s="61"/>
    </row>
    <row r="292" spans="1:20" s="60" customFormat="1" x14ac:dyDescent="0.3">
      <c r="A292" s="45">
        <f>IF(F292&lt;&gt;"",1+MAX($A$5:A291),"")</f>
        <v>134</v>
      </c>
      <c r="B292" s="106"/>
      <c r="C292" s="38" t="s">
        <v>199</v>
      </c>
      <c r="D292" s="55">
        <v>539</v>
      </c>
      <c r="E292" s="56">
        <v>0.1</v>
      </c>
      <c r="F292" s="57">
        <f t="shared" si="246"/>
        <v>592.90000000000009</v>
      </c>
      <c r="G292" s="58" t="s">
        <v>5</v>
      </c>
      <c r="H292" s="35">
        <v>5.8997960000000003</v>
      </c>
      <c r="I292" s="35">
        <f t="shared" si="247"/>
        <v>3497.9890484000007</v>
      </c>
      <c r="J292" s="43">
        <v>4.2769999999999996E-2</v>
      </c>
      <c r="K292" s="24">
        <f t="shared" si="248"/>
        <v>38</v>
      </c>
      <c r="L292" s="44">
        <f t="shared" si="249"/>
        <v>25.358333000000002</v>
      </c>
      <c r="M292" s="27">
        <f t="shared" si="250"/>
        <v>963.61665400000004</v>
      </c>
      <c r="N292" s="27">
        <f t="shared" si="251"/>
        <v>4461.6057024000011</v>
      </c>
      <c r="O292" s="76"/>
      <c r="P292" s="59"/>
      <c r="Q292" s="59"/>
      <c r="T292" s="61"/>
    </row>
    <row r="293" spans="1:20" s="60" customFormat="1" x14ac:dyDescent="0.3">
      <c r="A293" s="45">
        <f>IF(F293&lt;&gt;"",1+MAX($A$5:A292),"")</f>
        <v>135</v>
      </c>
      <c r="B293" s="106"/>
      <c r="C293" s="38" t="s">
        <v>198</v>
      </c>
      <c r="D293" s="55">
        <v>52</v>
      </c>
      <c r="E293" s="56">
        <v>0.1</v>
      </c>
      <c r="F293" s="57">
        <f t="shared" si="246"/>
        <v>57.2</v>
      </c>
      <c r="G293" s="58" t="s">
        <v>5</v>
      </c>
      <c r="H293" s="35">
        <v>5.8997960000000003</v>
      </c>
      <c r="I293" s="35">
        <f t="shared" si="247"/>
        <v>337.46833120000002</v>
      </c>
      <c r="J293" s="43">
        <v>4.2769999999999996E-2</v>
      </c>
      <c r="K293" s="24">
        <f t="shared" si="248"/>
        <v>38</v>
      </c>
      <c r="L293" s="44">
        <f t="shared" si="249"/>
        <v>2.4464440000000001</v>
      </c>
      <c r="M293" s="27">
        <f t="shared" si="250"/>
        <v>92.964872</v>
      </c>
      <c r="N293" s="27">
        <f t="shared" si="251"/>
        <v>430.43320320000004</v>
      </c>
      <c r="O293" s="76"/>
      <c r="P293" s="59"/>
      <c r="Q293" s="59"/>
      <c r="T293" s="61"/>
    </row>
    <row r="294" spans="1:20" s="60" customFormat="1" x14ac:dyDescent="0.3">
      <c r="A294" s="45">
        <f>IF(F294&lt;&gt;"",1+MAX($A$5:A293),"")</f>
        <v>136</v>
      </c>
      <c r="B294" s="106"/>
      <c r="C294" s="38" t="s">
        <v>197</v>
      </c>
      <c r="D294" s="55">
        <v>135</v>
      </c>
      <c r="E294" s="56">
        <v>0.1</v>
      </c>
      <c r="F294" s="57">
        <f t="shared" si="246"/>
        <v>148.5</v>
      </c>
      <c r="G294" s="58" t="s">
        <v>5</v>
      </c>
      <c r="H294" s="35">
        <v>5.8997960000000003</v>
      </c>
      <c r="I294" s="35">
        <f t="shared" si="247"/>
        <v>876.11970600000006</v>
      </c>
      <c r="J294" s="43">
        <v>4.2769999999999996E-2</v>
      </c>
      <c r="K294" s="24">
        <f t="shared" si="248"/>
        <v>38</v>
      </c>
      <c r="L294" s="44">
        <f t="shared" si="249"/>
        <v>6.3513449999999994</v>
      </c>
      <c r="M294" s="27">
        <f t="shared" si="250"/>
        <v>241.35110999999998</v>
      </c>
      <c r="N294" s="27">
        <f t="shared" si="251"/>
        <v>1117.470816</v>
      </c>
      <c r="O294" s="76"/>
      <c r="P294" s="59"/>
      <c r="Q294" s="59"/>
      <c r="T294" s="61"/>
    </row>
    <row r="295" spans="1:20" s="60" customFormat="1" x14ac:dyDescent="0.3">
      <c r="A295" s="45">
        <f>IF(F295&lt;&gt;"",1+MAX($A$5:A294),"")</f>
        <v>137</v>
      </c>
      <c r="B295" s="106"/>
      <c r="C295" s="38" t="s">
        <v>206</v>
      </c>
      <c r="D295" s="55">
        <v>394</v>
      </c>
      <c r="E295" s="56">
        <v>0.1</v>
      </c>
      <c r="F295" s="57">
        <f t="shared" si="246"/>
        <v>433.40000000000003</v>
      </c>
      <c r="G295" s="58" t="s">
        <v>5</v>
      </c>
      <c r="H295" s="35">
        <v>5.8997960000000003</v>
      </c>
      <c r="I295" s="35">
        <f t="shared" si="247"/>
        <v>2556.9715864000004</v>
      </c>
      <c r="J295" s="43">
        <v>4.2769999999999996E-2</v>
      </c>
      <c r="K295" s="24">
        <f t="shared" si="248"/>
        <v>38</v>
      </c>
      <c r="L295" s="44">
        <f t="shared" si="249"/>
        <v>18.536518000000001</v>
      </c>
      <c r="M295" s="27">
        <f t="shared" si="250"/>
        <v>704.38768400000004</v>
      </c>
      <c r="N295" s="27">
        <f t="shared" si="251"/>
        <v>3261.3592704000002</v>
      </c>
      <c r="O295" s="76"/>
      <c r="P295" s="59"/>
      <c r="Q295" s="59"/>
      <c r="T295" s="61"/>
    </row>
    <row r="296" spans="1:20" s="60" customFormat="1" x14ac:dyDescent="0.3">
      <c r="A296" s="45">
        <f>IF(F296&lt;&gt;"",1+MAX($A$5:A295),"")</f>
        <v>138</v>
      </c>
      <c r="B296" s="106"/>
      <c r="C296" s="38" t="s">
        <v>195</v>
      </c>
      <c r="D296" s="55">
        <v>142</v>
      </c>
      <c r="E296" s="56">
        <v>0.1</v>
      </c>
      <c r="F296" s="57">
        <f t="shared" si="246"/>
        <v>156.20000000000002</v>
      </c>
      <c r="G296" s="58" t="s">
        <v>5</v>
      </c>
      <c r="H296" s="35">
        <v>5.8997960000000003</v>
      </c>
      <c r="I296" s="35">
        <f t="shared" si="247"/>
        <v>921.54813520000016</v>
      </c>
      <c r="J296" s="43">
        <v>4.2769999999999996E-2</v>
      </c>
      <c r="K296" s="24">
        <f t="shared" si="248"/>
        <v>38</v>
      </c>
      <c r="L296" s="44">
        <f t="shared" si="249"/>
        <v>6.6806739999999998</v>
      </c>
      <c r="M296" s="27">
        <f t="shared" si="250"/>
        <v>253.865612</v>
      </c>
      <c r="N296" s="27">
        <f t="shared" si="251"/>
        <v>1175.4137472000002</v>
      </c>
      <c r="O296" s="76"/>
      <c r="P296" s="59"/>
      <c r="Q296" s="59"/>
      <c r="T296" s="61"/>
    </row>
    <row r="297" spans="1:20" s="60" customFormat="1" x14ac:dyDescent="0.3">
      <c r="A297" s="45">
        <f>IF(F297&lt;&gt;"",1+MAX($A$5:A296),"")</f>
        <v>139</v>
      </c>
      <c r="B297" s="106"/>
      <c r="C297" s="38" t="s">
        <v>205</v>
      </c>
      <c r="D297" s="55">
        <v>563</v>
      </c>
      <c r="E297" s="56">
        <v>0.1</v>
      </c>
      <c r="F297" s="57">
        <f t="shared" si="246"/>
        <v>619.30000000000007</v>
      </c>
      <c r="G297" s="58" t="s">
        <v>5</v>
      </c>
      <c r="H297" s="35">
        <v>2.2266971999999998</v>
      </c>
      <c r="I297" s="35">
        <f t="shared" si="247"/>
        <v>1378.99357596</v>
      </c>
      <c r="J297" s="43">
        <v>3.7600000000000001E-2</v>
      </c>
      <c r="K297" s="24">
        <f t="shared" si="248"/>
        <v>38</v>
      </c>
      <c r="L297" s="44">
        <f t="shared" si="249"/>
        <v>23.285680000000003</v>
      </c>
      <c r="M297" s="27">
        <f t="shared" si="250"/>
        <v>884.85584000000006</v>
      </c>
      <c r="N297" s="27">
        <f t="shared" si="251"/>
        <v>2263.84941596</v>
      </c>
      <c r="O297" s="76"/>
      <c r="P297" s="59"/>
      <c r="Q297" s="59"/>
      <c r="T297" s="61"/>
    </row>
    <row r="298" spans="1:20" s="60" customFormat="1" x14ac:dyDescent="0.3">
      <c r="A298" s="45">
        <f>IF(F298&lt;&gt;"",1+MAX($A$5:A297),"")</f>
        <v>140</v>
      </c>
      <c r="B298" s="106"/>
      <c r="C298" s="38" t="s">
        <v>194</v>
      </c>
      <c r="D298" s="55">
        <v>44</v>
      </c>
      <c r="E298" s="56">
        <v>0.1</v>
      </c>
      <c r="F298" s="57">
        <f t="shared" si="246"/>
        <v>48.400000000000006</v>
      </c>
      <c r="G298" s="58" t="s">
        <v>5</v>
      </c>
      <c r="H298" s="35">
        <v>4.3201732000000002</v>
      </c>
      <c r="I298" s="35">
        <f t="shared" si="247"/>
        <v>209.09638288000002</v>
      </c>
      <c r="J298" s="43">
        <v>3.7600000000000001E-2</v>
      </c>
      <c r="K298" s="24">
        <f t="shared" si="248"/>
        <v>38</v>
      </c>
      <c r="L298" s="44">
        <f t="shared" si="249"/>
        <v>1.8198400000000003</v>
      </c>
      <c r="M298" s="27">
        <f t="shared" si="250"/>
        <v>69.153920000000014</v>
      </c>
      <c r="N298" s="27">
        <f t="shared" si="251"/>
        <v>278.25030288000005</v>
      </c>
      <c r="O298" s="76"/>
      <c r="P298" s="59"/>
      <c r="Q298" s="59"/>
      <c r="T298" s="61"/>
    </row>
    <row r="299" spans="1:20" s="60" customFormat="1" x14ac:dyDescent="0.3">
      <c r="A299" s="45">
        <f>IF(F299&lt;&gt;"",1+MAX($A$5:A298),"")</f>
        <v>141</v>
      </c>
      <c r="B299" s="106"/>
      <c r="C299" s="38" t="s">
        <v>193</v>
      </c>
      <c r="D299" s="55">
        <v>194</v>
      </c>
      <c r="E299" s="56">
        <v>0.1</v>
      </c>
      <c r="F299" s="57">
        <f t="shared" si="246"/>
        <v>213.4</v>
      </c>
      <c r="G299" s="58" t="s">
        <v>5</v>
      </c>
      <c r="H299" s="35">
        <v>4.7578999999999994</v>
      </c>
      <c r="I299" s="35">
        <f t="shared" si="247"/>
        <v>1015.3358599999999</v>
      </c>
      <c r="J299" s="43">
        <v>4.7E-2</v>
      </c>
      <c r="K299" s="24">
        <f t="shared" si="248"/>
        <v>38</v>
      </c>
      <c r="L299" s="44">
        <f t="shared" si="249"/>
        <v>10.0298</v>
      </c>
      <c r="M299" s="27">
        <f t="shared" si="250"/>
        <v>381.13240000000002</v>
      </c>
      <c r="N299" s="27">
        <f t="shared" si="251"/>
        <v>1396.4682599999999</v>
      </c>
      <c r="O299" s="76"/>
      <c r="P299" s="59"/>
      <c r="Q299" s="59"/>
      <c r="T299" s="61"/>
    </row>
    <row r="300" spans="1:20" s="60" customFormat="1" x14ac:dyDescent="0.3">
      <c r="A300" s="45">
        <f>IF(F300&lt;&gt;"",1+MAX($A$5:A299),"")</f>
        <v>142</v>
      </c>
      <c r="B300" s="106"/>
      <c r="C300" s="38" t="s">
        <v>192</v>
      </c>
      <c r="D300" s="55">
        <v>60</v>
      </c>
      <c r="E300" s="56">
        <v>0.1</v>
      </c>
      <c r="F300" s="57">
        <f t="shared" si="246"/>
        <v>66</v>
      </c>
      <c r="G300" s="58" t="s">
        <v>5</v>
      </c>
      <c r="H300" s="35">
        <v>5.1861109999999995</v>
      </c>
      <c r="I300" s="35">
        <f t="shared" si="247"/>
        <v>342.28332599999999</v>
      </c>
      <c r="J300" s="43">
        <v>5.6399999999999992E-2</v>
      </c>
      <c r="K300" s="24">
        <f t="shared" si="248"/>
        <v>38</v>
      </c>
      <c r="L300" s="44">
        <f t="shared" si="249"/>
        <v>3.7223999999999995</v>
      </c>
      <c r="M300" s="27">
        <f t="shared" si="250"/>
        <v>141.45119999999997</v>
      </c>
      <c r="N300" s="27">
        <f t="shared" si="251"/>
        <v>483.73452599999996</v>
      </c>
      <c r="O300" s="76"/>
      <c r="P300" s="59"/>
      <c r="Q300" s="59"/>
      <c r="T300" s="61"/>
    </row>
    <row r="301" spans="1:20" s="60" customFormat="1" x14ac:dyDescent="0.3">
      <c r="A301" s="45">
        <f>IF(F301&lt;&gt;"",1+MAX($A$5:A300),"")</f>
        <v>143</v>
      </c>
      <c r="B301" s="106"/>
      <c r="C301" s="38" t="s">
        <v>191</v>
      </c>
      <c r="D301" s="55">
        <v>14</v>
      </c>
      <c r="E301" s="56">
        <v>0.1</v>
      </c>
      <c r="F301" s="57">
        <f t="shared" si="246"/>
        <v>15.400000000000002</v>
      </c>
      <c r="G301" s="58" t="s">
        <v>5</v>
      </c>
      <c r="H301" s="35">
        <v>5.8997960000000003</v>
      </c>
      <c r="I301" s="35">
        <f t="shared" si="247"/>
        <v>90.856858400000021</v>
      </c>
      <c r="J301" s="43">
        <v>4.7E-2</v>
      </c>
      <c r="K301" s="24">
        <f t="shared" si="248"/>
        <v>38</v>
      </c>
      <c r="L301" s="44">
        <f t="shared" si="249"/>
        <v>0.72380000000000011</v>
      </c>
      <c r="M301" s="27">
        <f t="shared" si="250"/>
        <v>27.504400000000004</v>
      </c>
      <c r="N301" s="27">
        <f t="shared" si="251"/>
        <v>118.36125840000003</v>
      </c>
      <c r="O301" s="76"/>
      <c r="P301" s="59"/>
      <c r="Q301" s="59"/>
      <c r="T301" s="61"/>
    </row>
    <row r="302" spans="1:20" s="60" customFormat="1" x14ac:dyDescent="0.3">
      <c r="A302" s="45">
        <f>IF(F302&lt;&gt;"",1+MAX($A$5:A301),"")</f>
        <v>144</v>
      </c>
      <c r="B302" s="106"/>
      <c r="C302" s="38" t="s">
        <v>204</v>
      </c>
      <c r="D302" s="55">
        <v>523</v>
      </c>
      <c r="E302" s="56">
        <v>0.1</v>
      </c>
      <c r="F302" s="57">
        <f t="shared" si="246"/>
        <v>575.30000000000007</v>
      </c>
      <c r="G302" s="58" t="s">
        <v>5</v>
      </c>
      <c r="H302" s="35">
        <v>5.1861109999999995</v>
      </c>
      <c r="I302" s="35">
        <f t="shared" si="247"/>
        <v>2983.5696582999999</v>
      </c>
      <c r="J302" s="43">
        <v>5.6399999999999992E-2</v>
      </c>
      <c r="K302" s="24">
        <f t="shared" si="248"/>
        <v>38</v>
      </c>
      <c r="L302" s="44">
        <f t="shared" si="249"/>
        <v>32.446919999999999</v>
      </c>
      <c r="M302" s="27">
        <f t="shared" si="250"/>
        <v>1232.98296</v>
      </c>
      <c r="N302" s="27">
        <f t="shared" si="251"/>
        <v>4216.5526183000002</v>
      </c>
      <c r="O302" s="76"/>
      <c r="P302" s="59"/>
      <c r="Q302" s="59"/>
      <c r="T302" s="61"/>
    </row>
    <row r="303" spans="1:20" s="60" customFormat="1" x14ac:dyDescent="0.3">
      <c r="A303" s="45">
        <f>IF(F303&lt;&gt;"",1+MAX($A$5:A302),"")</f>
        <v>145</v>
      </c>
      <c r="B303" s="106"/>
      <c r="C303" s="38" t="s">
        <v>203</v>
      </c>
      <c r="D303" s="55">
        <v>188</v>
      </c>
      <c r="E303" s="56">
        <v>0.1</v>
      </c>
      <c r="F303" s="57">
        <f t="shared" si="246"/>
        <v>206.8</v>
      </c>
      <c r="G303" s="58" t="s">
        <v>5</v>
      </c>
      <c r="H303" s="35">
        <v>5.1861109999999995</v>
      </c>
      <c r="I303" s="35">
        <f t="shared" si="247"/>
        <v>1072.4877547999999</v>
      </c>
      <c r="J303" s="43">
        <v>5.6399999999999992E-2</v>
      </c>
      <c r="K303" s="24">
        <f t="shared" si="248"/>
        <v>38</v>
      </c>
      <c r="L303" s="44">
        <f t="shared" si="249"/>
        <v>11.663519999999998</v>
      </c>
      <c r="M303" s="27">
        <f t="shared" si="250"/>
        <v>443.21375999999992</v>
      </c>
      <c r="N303" s="27">
        <f t="shared" si="251"/>
        <v>1515.7015147999998</v>
      </c>
      <c r="O303" s="76"/>
      <c r="P303" s="59"/>
      <c r="Q303" s="59"/>
      <c r="T303" s="61"/>
    </row>
    <row r="304" spans="1:20" s="60" customFormat="1" x14ac:dyDescent="0.3">
      <c r="A304" s="45">
        <f>IF(F304&lt;&gt;"",1+MAX($A$5:A303),"")</f>
        <v>146</v>
      </c>
      <c r="B304" s="106"/>
      <c r="C304" s="38" t="s">
        <v>190</v>
      </c>
      <c r="D304" s="55">
        <v>76</v>
      </c>
      <c r="E304" s="56">
        <v>0.1</v>
      </c>
      <c r="F304" s="57">
        <f t="shared" si="246"/>
        <v>83.600000000000009</v>
      </c>
      <c r="G304" s="58" t="s">
        <v>5</v>
      </c>
      <c r="H304" s="35">
        <v>4.4343628000000006</v>
      </c>
      <c r="I304" s="35">
        <f t="shared" si="247"/>
        <v>370.71273008000009</v>
      </c>
      <c r="J304" s="43">
        <v>5.6399999999999992E-2</v>
      </c>
      <c r="K304" s="24">
        <f t="shared" si="248"/>
        <v>38</v>
      </c>
      <c r="L304" s="44">
        <f t="shared" si="249"/>
        <v>4.7150400000000001</v>
      </c>
      <c r="M304" s="27">
        <f t="shared" si="250"/>
        <v>179.17152000000002</v>
      </c>
      <c r="N304" s="27">
        <f t="shared" si="251"/>
        <v>549.88425008000013</v>
      </c>
      <c r="O304" s="76"/>
      <c r="P304" s="59"/>
      <c r="Q304" s="59"/>
      <c r="T304" s="61"/>
    </row>
    <row r="305" spans="1:20" s="60" customFormat="1" x14ac:dyDescent="0.3">
      <c r="A305" s="45">
        <f>IF(F305&lt;&gt;"",1+MAX($A$5:A304),"")</f>
        <v>147</v>
      </c>
      <c r="B305" s="106"/>
      <c r="C305" s="38" t="s">
        <v>189</v>
      </c>
      <c r="D305" s="55">
        <v>80</v>
      </c>
      <c r="E305" s="56">
        <v>0.1</v>
      </c>
      <c r="F305" s="57">
        <f t="shared" si="246"/>
        <v>88</v>
      </c>
      <c r="G305" s="58" t="s">
        <v>5</v>
      </c>
      <c r="H305" s="35">
        <v>4.4343628000000006</v>
      </c>
      <c r="I305" s="35">
        <f t="shared" si="247"/>
        <v>390.22392640000004</v>
      </c>
      <c r="J305" s="43">
        <v>5.6399999999999992E-2</v>
      </c>
      <c r="K305" s="24">
        <f t="shared" si="248"/>
        <v>38</v>
      </c>
      <c r="L305" s="44">
        <f t="shared" si="249"/>
        <v>4.9631999999999996</v>
      </c>
      <c r="M305" s="27">
        <f t="shared" si="250"/>
        <v>188.60159999999999</v>
      </c>
      <c r="N305" s="27">
        <f t="shared" si="251"/>
        <v>578.82552640000006</v>
      </c>
      <c r="O305" s="76"/>
      <c r="P305" s="59"/>
      <c r="Q305" s="59"/>
      <c r="T305" s="61"/>
    </row>
    <row r="306" spans="1:20" s="60" customFormat="1" x14ac:dyDescent="0.3">
      <c r="A306" s="45" t="str">
        <f>IF(F306&lt;&gt;"",1+MAX($A$5:A305),"")</f>
        <v/>
      </c>
      <c r="B306" s="106"/>
      <c r="C306" s="38"/>
      <c r="D306" s="55"/>
      <c r="E306" s="56"/>
      <c r="F306" s="57"/>
      <c r="G306" s="58"/>
      <c r="H306" s="35"/>
      <c r="I306" s="35"/>
      <c r="J306" s="43"/>
      <c r="K306" s="24"/>
      <c r="L306" s="44"/>
      <c r="M306" s="27"/>
      <c r="N306" s="27"/>
      <c r="O306" s="76"/>
      <c r="P306" s="59"/>
      <c r="Q306" s="59"/>
      <c r="T306" s="61"/>
    </row>
    <row r="307" spans="1:20" s="60" customFormat="1" x14ac:dyDescent="0.3">
      <c r="A307" s="45" t="str">
        <f>IF(F307&lt;&gt;"",1+MAX($A$5:A306),"")</f>
        <v/>
      </c>
      <c r="B307" s="106"/>
      <c r="C307" s="86" t="s">
        <v>75</v>
      </c>
      <c r="D307" s="55"/>
      <c r="E307" s="56"/>
      <c r="F307" s="57"/>
      <c r="G307" s="58"/>
      <c r="H307" s="35"/>
      <c r="I307" s="35"/>
      <c r="J307" s="43"/>
      <c r="K307" s="24"/>
      <c r="L307" s="44"/>
      <c r="M307" s="27"/>
      <c r="N307" s="27"/>
      <c r="O307" s="76"/>
      <c r="P307" s="59"/>
      <c r="Q307" s="59"/>
      <c r="T307" s="61"/>
    </row>
    <row r="308" spans="1:20" s="60" customFormat="1" x14ac:dyDescent="0.3">
      <c r="A308" s="45">
        <f>IF(F308&lt;&gt;"",1+MAX($A$5:A307),"")</f>
        <v>148</v>
      </c>
      <c r="B308" s="106"/>
      <c r="C308" s="38" t="s">
        <v>202</v>
      </c>
      <c r="D308" s="55">
        <v>52.5</v>
      </c>
      <c r="E308" s="56">
        <v>0.1</v>
      </c>
      <c r="F308" s="57">
        <f>(1+E308)*D308</f>
        <v>57.750000000000007</v>
      </c>
      <c r="G308" s="58" t="s">
        <v>4</v>
      </c>
      <c r="H308" s="35">
        <v>3.0450560000000002</v>
      </c>
      <c r="I308" s="35">
        <f t="shared" ref="I308" si="252">H308*F308</f>
        <v>175.85198400000004</v>
      </c>
      <c r="J308" s="43">
        <v>2.8199999999999996E-2</v>
      </c>
      <c r="K308" s="24">
        <f>$N$144</f>
        <v>38</v>
      </c>
      <c r="L308" s="44">
        <f t="shared" ref="L308" si="253">J308*F308</f>
        <v>1.6285499999999999</v>
      </c>
      <c r="M308" s="27">
        <f t="shared" ref="M308" si="254">L308*K308</f>
        <v>61.884899999999995</v>
      </c>
      <c r="N308" s="27">
        <f t="shared" ref="N308" si="255">M308+I308</f>
        <v>237.73688400000003</v>
      </c>
      <c r="O308" s="76"/>
      <c r="P308" s="59"/>
      <c r="Q308" s="59"/>
      <c r="T308" s="61"/>
    </row>
    <row r="309" spans="1:20" s="60" customFormat="1" x14ac:dyDescent="0.3">
      <c r="A309" s="45" t="str">
        <f>IF(F309&lt;&gt;"",1+MAX($A$5:A308),"")</f>
        <v/>
      </c>
      <c r="B309" s="106"/>
      <c r="C309" s="38"/>
      <c r="D309" s="55"/>
      <c r="E309" s="56"/>
      <c r="F309" s="57"/>
      <c r="G309" s="58"/>
      <c r="H309" s="35"/>
      <c r="I309" s="35"/>
      <c r="J309" s="43"/>
      <c r="K309" s="24"/>
      <c r="L309" s="44"/>
      <c r="M309" s="27"/>
      <c r="N309" s="27"/>
      <c r="O309" s="76"/>
      <c r="P309" s="59"/>
      <c r="Q309" s="59"/>
      <c r="T309" s="61"/>
    </row>
    <row r="310" spans="1:20" s="60" customFormat="1" x14ac:dyDescent="0.3">
      <c r="A310" s="45" t="str">
        <f>IF(F310&lt;&gt;"",1+MAX($A$5:A309),"")</f>
        <v/>
      </c>
      <c r="B310" s="106"/>
      <c r="C310" s="86" t="s">
        <v>52</v>
      </c>
      <c r="D310" s="55"/>
      <c r="E310" s="56"/>
      <c r="F310" s="57"/>
      <c r="G310" s="58"/>
      <c r="H310" s="35"/>
      <c r="I310" s="35"/>
      <c r="J310" s="43"/>
      <c r="K310" s="24"/>
      <c r="L310" s="44"/>
      <c r="M310" s="27"/>
      <c r="N310" s="27"/>
      <c r="O310" s="76"/>
      <c r="P310" s="59"/>
      <c r="Q310" s="59"/>
      <c r="T310" s="61"/>
    </row>
    <row r="311" spans="1:20" s="60" customFormat="1" x14ac:dyDescent="0.3">
      <c r="A311" s="45">
        <f>IF(F311&lt;&gt;"",1+MAX($A$5:A310),"")</f>
        <v>149</v>
      </c>
      <c r="B311" s="106"/>
      <c r="C311" s="38" t="s">
        <v>201</v>
      </c>
      <c r="D311" s="55">
        <v>64.62</v>
      </c>
      <c r="E311" s="56">
        <v>0.1</v>
      </c>
      <c r="F311" s="57">
        <f t="shared" ref="F311:F324" si="256">(1+E311)*D311</f>
        <v>71.082000000000008</v>
      </c>
      <c r="G311" s="58" t="s">
        <v>4</v>
      </c>
      <c r="H311" s="35">
        <v>4.3353984800000003</v>
      </c>
      <c r="I311" s="35">
        <f t="shared" ref="I311:I324" si="257">H311*F311</f>
        <v>308.16879475536007</v>
      </c>
      <c r="J311" s="43">
        <v>3.7600000000000001E-2</v>
      </c>
      <c r="K311" s="24">
        <f t="shared" ref="K311:K324" si="258">$N$144</f>
        <v>38</v>
      </c>
      <c r="L311" s="44">
        <f t="shared" ref="L311:L324" si="259">J311*F311</f>
        <v>2.6726832000000003</v>
      </c>
      <c r="M311" s="27">
        <f t="shared" ref="M311:M324" si="260">L311*K311</f>
        <v>101.5619616</v>
      </c>
      <c r="N311" s="27">
        <f t="shared" ref="N311:N324" si="261">M311+I311</f>
        <v>409.73075635536009</v>
      </c>
      <c r="O311" s="76"/>
      <c r="P311" s="59"/>
      <c r="Q311" s="59"/>
      <c r="T311" s="61"/>
    </row>
    <row r="312" spans="1:20" s="60" customFormat="1" x14ac:dyDescent="0.3">
      <c r="A312" s="45">
        <f>IF(F312&lt;&gt;"",1+MAX($A$5:A311),"")</f>
        <v>150</v>
      </c>
      <c r="B312" s="106"/>
      <c r="C312" s="38" t="s">
        <v>200</v>
      </c>
      <c r="D312" s="55">
        <v>149.76</v>
      </c>
      <c r="E312" s="56">
        <v>0.1</v>
      </c>
      <c r="F312" s="57">
        <f t="shared" si="256"/>
        <v>164.73599999999999</v>
      </c>
      <c r="G312" s="58" t="s">
        <v>4</v>
      </c>
      <c r="H312" s="35">
        <v>4.3353984800000003</v>
      </c>
      <c r="I312" s="35">
        <f t="shared" ref="I312:I323" si="262">H312*F312</f>
        <v>714.19620400127997</v>
      </c>
      <c r="J312" s="43">
        <v>3.7600000000000001E-2</v>
      </c>
      <c r="K312" s="24">
        <f t="shared" si="258"/>
        <v>38</v>
      </c>
      <c r="L312" s="44">
        <f t="shared" si="259"/>
        <v>6.1940736000000003</v>
      </c>
      <c r="M312" s="27">
        <f t="shared" si="260"/>
        <v>235.37479680000001</v>
      </c>
      <c r="N312" s="27">
        <f t="shared" si="261"/>
        <v>949.57100080127998</v>
      </c>
      <c r="O312" s="76"/>
      <c r="P312" s="59"/>
      <c r="Q312" s="59"/>
      <c r="T312" s="61"/>
    </row>
    <row r="313" spans="1:20" s="60" customFormat="1" x14ac:dyDescent="0.3">
      <c r="A313" s="45">
        <f>IF(F313&lt;&gt;"",1+MAX($A$5:A312),"")</f>
        <v>151</v>
      </c>
      <c r="B313" s="106"/>
      <c r="C313" s="38" t="s">
        <v>199</v>
      </c>
      <c r="D313" s="55">
        <v>158.63</v>
      </c>
      <c r="E313" s="56">
        <v>0.1</v>
      </c>
      <c r="F313" s="57">
        <f t="shared" si="256"/>
        <v>174.49299999999999</v>
      </c>
      <c r="G313" s="58" t="s">
        <v>4</v>
      </c>
      <c r="H313" s="35">
        <v>4.3353984800000003</v>
      </c>
      <c r="I313" s="35">
        <f t="shared" si="262"/>
        <v>756.49668697063998</v>
      </c>
      <c r="J313" s="43">
        <v>3.7600000000000001E-2</v>
      </c>
      <c r="K313" s="24">
        <f t="shared" si="258"/>
        <v>38</v>
      </c>
      <c r="L313" s="44">
        <f t="shared" si="259"/>
        <v>6.5609368000000003</v>
      </c>
      <c r="M313" s="27">
        <f t="shared" si="260"/>
        <v>249.3155984</v>
      </c>
      <c r="N313" s="27">
        <f t="shared" si="261"/>
        <v>1005.81228537064</v>
      </c>
      <c r="O313" s="76"/>
      <c r="P313" s="59"/>
      <c r="Q313" s="59"/>
      <c r="T313" s="61"/>
    </row>
    <row r="314" spans="1:20" s="60" customFormat="1" x14ac:dyDescent="0.3">
      <c r="A314" s="45">
        <f>IF(F314&lt;&gt;"",1+MAX($A$5:A313),"")</f>
        <v>152</v>
      </c>
      <c r="B314" s="106"/>
      <c r="C314" s="38" t="s">
        <v>198</v>
      </c>
      <c r="D314" s="55">
        <v>40.700000000000003</v>
      </c>
      <c r="E314" s="56">
        <v>0.1</v>
      </c>
      <c r="F314" s="57">
        <f t="shared" si="256"/>
        <v>44.77000000000001</v>
      </c>
      <c r="G314" s="58" t="s">
        <v>4</v>
      </c>
      <c r="H314" s="35">
        <v>4.3353984800000003</v>
      </c>
      <c r="I314" s="35">
        <f t="shared" si="262"/>
        <v>194.09578994960006</v>
      </c>
      <c r="J314" s="43">
        <v>3.7600000000000001E-2</v>
      </c>
      <c r="K314" s="24">
        <f t="shared" si="258"/>
        <v>38</v>
      </c>
      <c r="L314" s="44">
        <f t="shared" si="259"/>
        <v>1.6833520000000004</v>
      </c>
      <c r="M314" s="27">
        <f t="shared" si="260"/>
        <v>63.967376000000016</v>
      </c>
      <c r="N314" s="27">
        <f t="shared" si="261"/>
        <v>258.06316594960009</v>
      </c>
      <c r="O314" s="76"/>
      <c r="P314" s="59"/>
      <c r="Q314" s="59"/>
      <c r="T314" s="61"/>
    </row>
    <row r="315" spans="1:20" s="60" customFormat="1" x14ac:dyDescent="0.3">
      <c r="A315" s="45">
        <f>IF(F315&lt;&gt;"",1+MAX($A$5:A314),"")</f>
        <v>153</v>
      </c>
      <c r="B315" s="106"/>
      <c r="C315" s="38" t="s">
        <v>197</v>
      </c>
      <c r="D315" s="55">
        <v>33.46</v>
      </c>
      <c r="E315" s="56">
        <v>0.1</v>
      </c>
      <c r="F315" s="57">
        <f t="shared" si="256"/>
        <v>36.806000000000004</v>
      </c>
      <c r="G315" s="58" t="s">
        <v>4</v>
      </c>
      <c r="H315" s="35">
        <v>4.3353984800000003</v>
      </c>
      <c r="I315" s="35">
        <f t="shared" si="262"/>
        <v>159.56867645488003</v>
      </c>
      <c r="J315" s="43">
        <v>3.7600000000000001E-2</v>
      </c>
      <c r="K315" s="24">
        <f t="shared" si="258"/>
        <v>38</v>
      </c>
      <c r="L315" s="44">
        <f t="shared" si="259"/>
        <v>1.3839056000000003</v>
      </c>
      <c r="M315" s="27">
        <f t="shared" si="260"/>
        <v>52.588412800000015</v>
      </c>
      <c r="N315" s="27">
        <f t="shared" si="261"/>
        <v>212.15708925488005</v>
      </c>
      <c r="O315" s="76"/>
      <c r="P315" s="59"/>
      <c r="Q315" s="59"/>
      <c r="T315" s="61"/>
    </row>
    <row r="316" spans="1:20" s="60" customFormat="1" x14ac:dyDescent="0.3">
      <c r="A316" s="45">
        <f>IF(F316&lt;&gt;"",1+MAX($A$5:A315),"")</f>
        <v>154</v>
      </c>
      <c r="B316" s="106"/>
      <c r="C316" s="38" t="s">
        <v>196</v>
      </c>
      <c r="D316" s="55">
        <v>58.65</v>
      </c>
      <c r="E316" s="56">
        <v>0.1</v>
      </c>
      <c r="F316" s="57">
        <f t="shared" si="256"/>
        <v>64.515000000000001</v>
      </c>
      <c r="G316" s="58" t="s">
        <v>4</v>
      </c>
      <c r="H316" s="35">
        <v>4.3353984800000003</v>
      </c>
      <c r="I316" s="35">
        <f t="shared" si="262"/>
        <v>279.69823293720003</v>
      </c>
      <c r="J316" s="43">
        <v>3.7600000000000001E-2</v>
      </c>
      <c r="K316" s="24">
        <f t="shared" si="258"/>
        <v>38</v>
      </c>
      <c r="L316" s="44">
        <f t="shared" si="259"/>
        <v>2.425764</v>
      </c>
      <c r="M316" s="27">
        <f t="shared" si="260"/>
        <v>92.179032000000007</v>
      </c>
      <c r="N316" s="27">
        <f t="shared" si="261"/>
        <v>371.87726493720004</v>
      </c>
      <c r="O316" s="76"/>
      <c r="P316" s="59"/>
      <c r="Q316" s="59"/>
      <c r="T316" s="61"/>
    </row>
    <row r="317" spans="1:20" s="60" customFormat="1" x14ac:dyDescent="0.3">
      <c r="A317" s="45">
        <f>IF(F317&lt;&gt;"",1+MAX($A$5:A316),"")</f>
        <v>155</v>
      </c>
      <c r="B317" s="106"/>
      <c r="C317" s="38" t="s">
        <v>195</v>
      </c>
      <c r="D317" s="55">
        <v>17.7</v>
      </c>
      <c r="E317" s="56">
        <v>0.1</v>
      </c>
      <c r="F317" s="57">
        <f t="shared" si="256"/>
        <v>19.470000000000002</v>
      </c>
      <c r="G317" s="58" t="s">
        <v>4</v>
      </c>
      <c r="H317" s="35">
        <v>4.3353984800000003</v>
      </c>
      <c r="I317" s="35">
        <f t="shared" si="262"/>
        <v>84.410208405600017</v>
      </c>
      <c r="J317" s="43">
        <v>3.7600000000000001E-2</v>
      </c>
      <c r="K317" s="24">
        <f t="shared" si="258"/>
        <v>38</v>
      </c>
      <c r="L317" s="44">
        <f t="shared" si="259"/>
        <v>0.73207200000000017</v>
      </c>
      <c r="M317" s="27">
        <f t="shared" si="260"/>
        <v>27.818736000000005</v>
      </c>
      <c r="N317" s="27">
        <f t="shared" si="261"/>
        <v>112.22894440560002</v>
      </c>
      <c r="O317" s="76"/>
      <c r="P317" s="59"/>
      <c r="Q317" s="59"/>
      <c r="T317" s="61"/>
    </row>
    <row r="318" spans="1:20" s="60" customFormat="1" x14ac:dyDescent="0.3">
      <c r="A318" s="45">
        <f>IF(F318&lt;&gt;"",1+MAX($A$5:A317),"")</f>
        <v>156</v>
      </c>
      <c r="B318" s="106"/>
      <c r="C318" s="38" t="s">
        <v>194</v>
      </c>
      <c r="D318" s="55">
        <v>23.04</v>
      </c>
      <c r="E318" s="56">
        <v>0.1</v>
      </c>
      <c r="F318" s="57">
        <f t="shared" si="256"/>
        <v>25.344000000000001</v>
      </c>
      <c r="G318" s="58" t="s">
        <v>4</v>
      </c>
      <c r="H318" s="35">
        <v>4.3353984800000003</v>
      </c>
      <c r="I318" s="35">
        <f t="shared" si="262"/>
        <v>109.87633907712001</v>
      </c>
      <c r="J318" s="43">
        <v>3.7600000000000001E-2</v>
      </c>
      <c r="K318" s="24">
        <f t="shared" si="258"/>
        <v>38</v>
      </c>
      <c r="L318" s="44">
        <f t="shared" si="259"/>
        <v>0.95293440000000007</v>
      </c>
      <c r="M318" s="27">
        <f t="shared" si="260"/>
        <v>36.2115072</v>
      </c>
      <c r="N318" s="27">
        <f t="shared" si="261"/>
        <v>146.08784627712001</v>
      </c>
      <c r="O318" s="76"/>
      <c r="P318" s="59"/>
      <c r="Q318" s="59"/>
      <c r="T318" s="61"/>
    </row>
    <row r="319" spans="1:20" s="60" customFormat="1" x14ac:dyDescent="0.3">
      <c r="A319" s="45">
        <f>IF(F319&lt;&gt;"",1+MAX($A$5:A318),"")</f>
        <v>157</v>
      </c>
      <c r="B319" s="106"/>
      <c r="C319" s="38" t="s">
        <v>193</v>
      </c>
      <c r="D319" s="55">
        <v>30.08</v>
      </c>
      <c r="E319" s="56">
        <v>0.1</v>
      </c>
      <c r="F319" s="57">
        <f t="shared" si="256"/>
        <v>33.088000000000001</v>
      </c>
      <c r="G319" s="58" t="s">
        <v>4</v>
      </c>
      <c r="H319" s="35">
        <v>4.3353984800000003</v>
      </c>
      <c r="I319" s="35">
        <f t="shared" si="262"/>
        <v>143.44966490624</v>
      </c>
      <c r="J319" s="43">
        <v>3.7600000000000001E-2</v>
      </c>
      <c r="K319" s="24">
        <f t="shared" si="258"/>
        <v>38</v>
      </c>
      <c r="L319" s="44">
        <f t="shared" si="259"/>
        <v>1.2441088</v>
      </c>
      <c r="M319" s="27">
        <f t="shared" si="260"/>
        <v>47.276134400000004</v>
      </c>
      <c r="N319" s="27">
        <f t="shared" si="261"/>
        <v>190.72579930623999</v>
      </c>
      <c r="O319" s="76"/>
      <c r="P319" s="59"/>
      <c r="Q319" s="59"/>
      <c r="T319" s="61"/>
    </row>
    <row r="320" spans="1:20" s="60" customFormat="1" x14ac:dyDescent="0.3">
      <c r="A320" s="45">
        <f>IF(F320&lt;&gt;"",1+MAX($A$5:A319),"")</f>
        <v>158</v>
      </c>
      <c r="B320" s="106"/>
      <c r="C320" s="38" t="s">
        <v>192</v>
      </c>
      <c r="D320" s="55">
        <v>26.55</v>
      </c>
      <c r="E320" s="56">
        <v>0.1</v>
      </c>
      <c r="F320" s="57">
        <f t="shared" si="256"/>
        <v>29.205000000000002</v>
      </c>
      <c r="G320" s="58" t="s">
        <v>4</v>
      </c>
      <c r="H320" s="35">
        <v>4.3353984800000003</v>
      </c>
      <c r="I320" s="35">
        <f t="shared" si="262"/>
        <v>126.61531260840002</v>
      </c>
      <c r="J320" s="43">
        <v>3.7600000000000001E-2</v>
      </c>
      <c r="K320" s="24">
        <f t="shared" si="258"/>
        <v>38</v>
      </c>
      <c r="L320" s="44">
        <f t="shared" si="259"/>
        <v>1.0981080000000001</v>
      </c>
      <c r="M320" s="27">
        <f t="shared" si="260"/>
        <v>41.728104000000002</v>
      </c>
      <c r="N320" s="27">
        <f t="shared" si="261"/>
        <v>168.34341660840002</v>
      </c>
      <c r="O320" s="76"/>
      <c r="P320" s="59"/>
      <c r="Q320" s="59"/>
      <c r="T320" s="61"/>
    </row>
    <row r="321" spans="1:20" s="60" customFormat="1" x14ac:dyDescent="0.3">
      <c r="A321" s="45">
        <f>IF(F321&lt;&gt;"",1+MAX($A$5:A320),"")</f>
        <v>159</v>
      </c>
      <c r="B321" s="106"/>
      <c r="C321" s="38" t="s">
        <v>191</v>
      </c>
      <c r="D321" s="55">
        <v>12.52</v>
      </c>
      <c r="E321" s="56">
        <v>0.1</v>
      </c>
      <c r="F321" s="57">
        <f t="shared" si="256"/>
        <v>13.772</v>
      </c>
      <c r="G321" s="58" t="s">
        <v>4</v>
      </c>
      <c r="H321" s="35">
        <v>4.3353984800000003</v>
      </c>
      <c r="I321" s="35">
        <f t="shared" si="262"/>
        <v>59.707107866560008</v>
      </c>
      <c r="J321" s="43">
        <v>3.7600000000000001E-2</v>
      </c>
      <c r="K321" s="24">
        <f t="shared" si="258"/>
        <v>38</v>
      </c>
      <c r="L321" s="44">
        <f t="shared" si="259"/>
        <v>0.51782720000000004</v>
      </c>
      <c r="M321" s="27">
        <f t="shared" si="260"/>
        <v>19.677433600000001</v>
      </c>
      <c r="N321" s="27">
        <f t="shared" si="261"/>
        <v>79.384541466560009</v>
      </c>
      <c r="O321" s="76"/>
      <c r="P321" s="59"/>
      <c r="Q321" s="59"/>
      <c r="T321" s="61"/>
    </row>
    <row r="322" spans="1:20" s="60" customFormat="1" x14ac:dyDescent="0.3">
      <c r="A322" s="45">
        <f>IF(F322&lt;&gt;"",1+MAX($A$5:A321),"")</f>
        <v>160</v>
      </c>
      <c r="B322" s="106"/>
      <c r="C322" s="38" t="s">
        <v>190</v>
      </c>
      <c r="D322" s="55">
        <v>52.66</v>
      </c>
      <c r="E322" s="56">
        <v>0.1</v>
      </c>
      <c r="F322" s="57">
        <f t="shared" si="256"/>
        <v>57.926000000000002</v>
      </c>
      <c r="G322" s="58" t="s">
        <v>4</v>
      </c>
      <c r="H322" s="35">
        <v>4.3353984800000003</v>
      </c>
      <c r="I322" s="35">
        <f t="shared" si="262"/>
        <v>251.13229235248002</v>
      </c>
      <c r="J322" s="43">
        <v>3.7600000000000001E-2</v>
      </c>
      <c r="K322" s="24">
        <f t="shared" si="258"/>
        <v>38</v>
      </c>
      <c r="L322" s="44">
        <f t="shared" si="259"/>
        <v>2.1780176</v>
      </c>
      <c r="M322" s="27">
        <f t="shared" si="260"/>
        <v>82.764668799999995</v>
      </c>
      <c r="N322" s="27">
        <f t="shared" si="261"/>
        <v>333.89696115248</v>
      </c>
      <c r="O322" s="76"/>
      <c r="P322" s="59"/>
      <c r="Q322" s="59"/>
      <c r="T322" s="61"/>
    </row>
    <row r="323" spans="1:20" s="60" customFormat="1" x14ac:dyDescent="0.3">
      <c r="A323" s="45">
        <f>IF(F323&lt;&gt;"",1+MAX($A$5:A322),"")</f>
        <v>161</v>
      </c>
      <c r="B323" s="106"/>
      <c r="C323" s="38" t="s">
        <v>189</v>
      </c>
      <c r="D323" s="55">
        <v>32.630000000000003</v>
      </c>
      <c r="E323" s="56">
        <v>0.1</v>
      </c>
      <c r="F323" s="57">
        <f t="shared" si="256"/>
        <v>35.893000000000008</v>
      </c>
      <c r="G323" s="58" t="s">
        <v>4</v>
      </c>
      <c r="H323" s="35">
        <v>4.3353984800000003</v>
      </c>
      <c r="I323" s="35">
        <f t="shared" si="262"/>
        <v>155.61045764264006</v>
      </c>
      <c r="J323" s="43">
        <v>3.7600000000000001E-2</v>
      </c>
      <c r="K323" s="24">
        <f t="shared" si="258"/>
        <v>38</v>
      </c>
      <c r="L323" s="44">
        <f t="shared" si="259"/>
        <v>1.3495768000000004</v>
      </c>
      <c r="M323" s="27">
        <f t="shared" si="260"/>
        <v>51.283918400000012</v>
      </c>
      <c r="N323" s="27">
        <f t="shared" si="261"/>
        <v>206.89437604264006</v>
      </c>
      <c r="O323" s="76"/>
      <c r="P323" s="59"/>
      <c r="Q323" s="59"/>
      <c r="T323" s="61"/>
    </row>
    <row r="324" spans="1:20" s="60" customFormat="1" x14ac:dyDescent="0.3">
      <c r="A324" s="45">
        <f>IF(F324&lt;&gt;"",1+MAX($A$5:A323),"")</f>
        <v>162</v>
      </c>
      <c r="B324" s="106"/>
      <c r="C324" s="38" t="s">
        <v>51</v>
      </c>
      <c r="D324" s="55">
        <v>955.596</v>
      </c>
      <c r="E324" s="56">
        <v>0.1</v>
      </c>
      <c r="F324" s="57">
        <f t="shared" si="256"/>
        <v>1051.1556</v>
      </c>
      <c r="G324" s="58" t="s">
        <v>4</v>
      </c>
      <c r="H324" s="35">
        <v>1.1704433999999999</v>
      </c>
      <c r="I324" s="35">
        <f t="shared" si="257"/>
        <v>1230.3181343930401</v>
      </c>
      <c r="J324" s="43">
        <v>1.8800000000000001E-2</v>
      </c>
      <c r="K324" s="24">
        <f t="shared" si="258"/>
        <v>38</v>
      </c>
      <c r="L324" s="44">
        <f t="shared" si="259"/>
        <v>19.76172528</v>
      </c>
      <c r="M324" s="27">
        <f t="shared" si="260"/>
        <v>750.94556064000005</v>
      </c>
      <c r="N324" s="27">
        <f t="shared" si="261"/>
        <v>1981.2636950330402</v>
      </c>
      <c r="O324" s="76"/>
      <c r="P324" s="59"/>
      <c r="Q324" s="59"/>
      <c r="T324" s="61"/>
    </row>
    <row r="325" spans="1:20" s="60" customFormat="1" x14ac:dyDescent="0.3">
      <c r="A325" s="45" t="str">
        <f>IF(F325&lt;&gt;"",1+MAX($A$5:A324),"")</f>
        <v/>
      </c>
      <c r="B325" s="106"/>
      <c r="C325" s="38"/>
      <c r="D325" s="55"/>
      <c r="E325" s="56"/>
      <c r="F325" s="57"/>
      <c r="G325" s="58"/>
      <c r="H325" s="35"/>
      <c r="I325" s="35"/>
      <c r="J325" s="43"/>
      <c r="K325" s="24"/>
      <c r="L325" s="44"/>
      <c r="M325" s="27"/>
      <c r="N325" s="27"/>
      <c r="O325" s="76"/>
      <c r="P325" s="59"/>
      <c r="Q325" s="59"/>
      <c r="T325" s="61"/>
    </row>
    <row r="326" spans="1:20" s="60" customFormat="1" x14ac:dyDescent="0.3">
      <c r="A326" s="45" t="str">
        <f>IF(F326&lt;&gt;"",1+MAX($A$5:A325),"")</f>
        <v/>
      </c>
      <c r="B326" s="106"/>
      <c r="C326" s="86" t="s">
        <v>188</v>
      </c>
      <c r="D326" s="55"/>
      <c r="E326" s="56"/>
      <c r="F326" s="57"/>
      <c r="G326" s="58"/>
      <c r="H326" s="35"/>
      <c r="I326" s="35"/>
      <c r="J326" s="43"/>
      <c r="K326" s="24"/>
      <c r="L326" s="44"/>
      <c r="M326" s="27"/>
      <c r="N326" s="27"/>
      <c r="O326" s="76"/>
      <c r="P326" s="59"/>
      <c r="Q326" s="59"/>
      <c r="T326" s="61"/>
    </row>
    <row r="327" spans="1:20" s="60" customFormat="1" x14ac:dyDescent="0.3">
      <c r="A327" s="45">
        <f>IF(F327&lt;&gt;"",1+MAX($A$5:A326),"")</f>
        <v>163</v>
      </c>
      <c r="B327" s="106"/>
      <c r="C327" s="38" t="s">
        <v>187</v>
      </c>
      <c r="D327" s="55">
        <v>150</v>
      </c>
      <c r="E327" s="56">
        <v>0.1</v>
      </c>
      <c r="F327" s="57">
        <f t="shared" ref="F327:F346" si="263">(1+E327)*D327</f>
        <v>165</v>
      </c>
      <c r="G327" s="58" t="s">
        <v>5</v>
      </c>
      <c r="H327" s="35">
        <v>0.84690620000000005</v>
      </c>
      <c r="I327" s="35">
        <f t="shared" ref="I327:I346" si="264">H327*F327</f>
        <v>139.73952300000002</v>
      </c>
      <c r="J327" s="43">
        <v>3.1019999999999999E-2</v>
      </c>
      <c r="K327" s="24">
        <f t="shared" ref="K327:K346" si="265">$N$144</f>
        <v>38</v>
      </c>
      <c r="L327" s="44">
        <f t="shared" ref="L327:L346" si="266">J327*F327</f>
        <v>5.1182999999999996</v>
      </c>
      <c r="M327" s="27">
        <f t="shared" ref="M327:M346" si="267">L327*K327</f>
        <v>194.49539999999999</v>
      </c>
      <c r="N327" s="27">
        <f t="shared" ref="N327:N346" si="268">M327+I327</f>
        <v>334.23492299999998</v>
      </c>
      <c r="O327" s="76"/>
      <c r="P327" s="59"/>
      <c r="Q327" s="59"/>
      <c r="T327" s="61"/>
    </row>
    <row r="328" spans="1:20" s="60" customFormat="1" x14ac:dyDescent="0.3">
      <c r="A328" s="45">
        <f>IF(F328&lt;&gt;"",1+MAX($A$5:A327),"")</f>
        <v>164</v>
      </c>
      <c r="B328" s="106"/>
      <c r="C328" s="38" t="s">
        <v>186</v>
      </c>
      <c r="D328" s="55">
        <v>261</v>
      </c>
      <c r="E328" s="56">
        <v>0.1</v>
      </c>
      <c r="F328" s="57">
        <f t="shared" si="263"/>
        <v>287.10000000000002</v>
      </c>
      <c r="G328" s="58" t="s">
        <v>5</v>
      </c>
      <c r="H328" s="35">
        <v>0.84690620000000005</v>
      </c>
      <c r="I328" s="35">
        <f t="shared" si="264"/>
        <v>243.14677002000005</v>
      </c>
      <c r="J328" s="43">
        <v>3.1019999999999999E-2</v>
      </c>
      <c r="K328" s="24">
        <f t="shared" si="265"/>
        <v>38</v>
      </c>
      <c r="L328" s="44">
        <f t="shared" si="266"/>
        <v>8.9058419999999998</v>
      </c>
      <c r="M328" s="27">
        <f t="shared" si="267"/>
        <v>338.42199599999998</v>
      </c>
      <c r="N328" s="27">
        <f t="shared" si="268"/>
        <v>581.56876602</v>
      </c>
      <c r="O328" s="76"/>
      <c r="P328" s="59"/>
      <c r="Q328" s="59"/>
      <c r="T328" s="61"/>
    </row>
    <row r="329" spans="1:20" s="60" customFormat="1" x14ac:dyDescent="0.3">
      <c r="A329" s="45">
        <f>IF(F329&lt;&gt;"",1+MAX($A$5:A328),"")</f>
        <v>165</v>
      </c>
      <c r="B329" s="106"/>
      <c r="C329" s="38" t="s">
        <v>185</v>
      </c>
      <c r="D329" s="55">
        <v>399</v>
      </c>
      <c r="E329" s="56">
        <v>0.1</v>
      </c>
      <c r="F329" s="57">
        <f t="shared" si="263"/>
        <v>438.90000000000003</v>
      </c>
      <c r="G329" s="58" t="s">
        <v>5</v>
      </c>
      <c r="H329" s="35">
        <v>3.9014779999999996</v>
      </c>
      <c r="I329" s="35">
        <f t="shared" si="264"/>
        <v>1712.3586941999999</v>
      </c>
      <c r="J329" s="43">
        <v>2.538E-2</v>
      </c>
      <c r="K329" s="24">
        <f t="shared" si="265"/>
        <v>38</v>
      </c>
      <c r="L329" s="44">
        <f t="shared" si="266"/>
        <v>11.139282000000001</v>
      </c>
      <c r="M329" s="27">
        <f t="shared" si="267"/>
        <v>423.29271600000004</v>
      </c>
      <c r="N329" s="27">
        <f t="shared" si="268"/>
        <v>2135.6514102000001</v>
      </c>
      <c r="O329" s="76"/>
      <c r="P329" s="59"/>
      <c r="Q329" s="59"/>
      <c r="T329" s="61"/>
    </row>
    <row r="330" spans="1:20" s="60" customFormat="1" x14ac:dyDescent="0.3">
      <c r="A330" s="45">
        <f>IF(F330&lt;&gt;"",1+MAX($A$5:A329),"")</f>
        <v>166</v>
      </c>
      <c r="B330" s="106"/>
      <c r="C330" s="38" t="s">
        <v>184</v>
      </c>
      <c r="D330" s="55">
        <v>555</v>
      </c>
      <c r="E330" s="56">
        <v>0.1</v>
      </c>
      <c r="F330" s="57">
        <f t="shared" si="263"/>
        <v>610.5</v>
      </c>
      <c r="G330" s="58" t="s">
        <v>5</v>
      </c>
      <c r="H330" s="35">
        <v>17.35110972</v>
      </c>
      <c r="I330" s="35">
        <f t="shared" si="264"/>
        <v>10592.85248406</v>
      </c>
      <c r="J330" s="43">
        <v>7.5200000000000003E-2</v>
      </c>
      <c r="K330" s="24">
        <f t="shared" si="265"/>
        <v>38</v>
      </c>
      <c r="L330" s="44">
        <f t="shared" si="266"/>
        <v>45.909600000000005</v>
      </c>
      <c r="M330" s="27">
        <f t="shared" si="267"/>
        <v>1744.5648000000001</v>
      </c>
      <c r="N330" s="27">
        <f t="shared" si="268"/>
        <v>12337.41728406</v>
      </c>
      <c r="O330" s="76"/>
      <c r="P330" s="59"/>
      <c r="Q330" s="59"/>
      <c r="T330" s="61"/>
    </row>
    <row r="331" spans="1:20" s="60" customFormat="1" x14ac:dyDescent="0.3">
      <c r="A331" s="45">
        <f>IF(F331&lt;&gt;"",1+MAX($A$5:A330),"")</f>
        <v>167</v>
      </c>
      <c r="B331" s="106"/>
      <c r="C331" s="38" t="s">
        <v>183</v>
      </c>
      <c r="D331" s="55">
        <v>901</v>
      </c>
      <c r="E331" s="56">
        <v>0.1</v>
      </c>
      <c r="F331" s="57">
        <f t="shared" si="263"/>
        <v>991.10000000000014</v>
      </c>
      <c r="G331" s="58" t="s">
        <v>5</v>
      </c>
      <c r="H331" s="35">
        <v>6.4517123999999999</v>
      </c>
      <c r="I331" s="35">
        <f t="shared" si="264"/>
        <v>6394.292159640001</v>
      </c>
      <c r="J331" s="43">
        <v>5.6399999999999992E-2</v>
      </c>
      <c r="K331" s="24">
        <f t="shared" si="265"/>
        <v>38</v>
      </c>
      <c r="L331" s="44">
        <f t="shared" si="266"/>
        <v>55.898040000000002</v>
      </c>
      <c r="M331" s="27">
        <f t="shared" si="267"/>
        <v>2124.1255200000001</v>
      </c>
      <c r="N331" s="27">
        <f t="shared" si="268"/>
        <v>8518.4176796400006</v>
      </c>
      <c r="O331" s="76"/>
      <c r="P331" s="59"/>
      <c r="Q331" s="59"/>
      <c r="T331" s="61"/>
    </row>
    <row r="332" spans="1:20" s="60" customFormat="1" x14ac:dyDescent="0.3">
      <c r="A332" s="45">
        <f>IF(F332&lt;&gt;"",1+MAX($A$5:A331),"")</f>
        <v>168</v>
      </c>
      <c r="B332" s="106"/>
      <c r="C332" s="38" t="s">
        <v>183</v>
      </c>
      <c r="D332" s="55">
        <v>832</v>
      </c>
      <c r="E332" s="56">
        <v>0.1</v>
      </c>
      <c r="F332" s="57">
        <f t="shared" si="263"/>
        <v>915.2</v>
      </c>
      <c r="G332" s="58" t="s">
        <v>5</v>
      </c>
      <c r="H332" s="35">
        <v>6.4517123999999999</v>
      </c>
      <c r="I332" s="35">
        <f t="shared" si="264"/>
        <v>5904.6071884800003</v>
      </c>
      <c r="J332" s="43">
        <v>5.6399999999999992E-2</v>
      </c>
      <c r="K332" s="24">
        <f t="shared" si="265"/>
        <v>38</v>
      </c>
      <c r="L332" s="44">
        <f t="shared" si="266"/>
        <v>51.617279999999994</v>
      </c>
      <c r="M332" s="27">
        <f t="shared" si="267"/>
        <v>1961.4566399999999</v>
      </c>
      <c r="N332" s="27">
        <f t="shared" si="268"/>
        <v>7866.0638284800007</v>
      </c>
      <c r="O332" s="76"/>
      <c r="P332" s="59"/>
      <c r="Q332" s="59"/>
      <c r="T332" s="61"/>
    </row>
    <row r="333" spans="1:20" s="60" customFormat="1" x14ac:dyDescent="0.3">
      <c r="A333" s="45">
        <f>IF(F333&lt;&gt;"",1+MAX($A$5:A332),"")</f>
        <v>169</v>
      </c>
      <c r="B333" s="106"/>
      <c r="C333" s="38" t="s">
        <v>182</v>
      </c>
      <c r="D333" s="55">
        <v>126</v>
      </c>
      <c r="E333" s="56">
        <v>0.1</v>
      </c>
      <c r="F333" s="57">
        <f t="shared" si="263"/>
        <v>138.60000000000002</v>
      </c>
      <c r="G333" s="58" t="s">
        <v>5</v>
      </c>
      <c r="H333" s="35">
        <v>11.704434000000001</v>
      </c>
      <c r="I333" s="35">
        <f t="shared" si="264"/>
        <v>1622.2345524000004</v>
      </c>
      <c r="J333" s="43">
        <v>7.5200000000000003E-2</v>
      </c>
      <c r="K333" s="24">
        <f t="shared" si="265"/>
        <v>38</v>
      </c>
      <c r="L333" s="44">
        <f t="shared" si="266"/>
        <v>10.422720000000002</v>
      </c>
      <c r="M333" s="27">
        <f t="shared" si="267"/>
        <v>396.06336000000005</v>
      </c>
      <c r="N333" s="27">
        <f t="shared" si="268"/>
        <v>2018.2979124000005</v>
      </c>
      <c r="O333" s="76"/>
      <c r="P333" s="59"/>
      <c r="Q333" s="59"/>
      <c r="T333" s="61"/>
    </row>
    <row r="334" spans="1:20" s="60" customFormat="1" x14ac:dyDescent="0.3">
      <c r="A334" s="45">
        <f>IF(F334&lt;&gt;"",1+MAX($A$5:A333),"")</f>
        <v>170</v>
      </c>
      <c r="B334" s="106"/>
      <c r="C334" s="38" t="s">
        <v>181</v>
      </c>
      <c r="D334" s="55">
        <v>117.88</v>
      </c>
      <c r="E334" s="56">
        <v>0.1</v>
      </c>
      <c r="F334" s="57">
        <f t="shared" si="263"/>
        <v>129.66800000000001</v>
      </c>
      <c r="G334" s="58" t="s">
        <v>4</v>
      </c>
      <c r="H334" s="35">
        <v>1.1704433999999999</v>
      </c>
      <c r="I334" s="35">
        <f t="shared" si="264"/>
        <v>151.76905479120001</v>
      </c>
      <c r="J334" s="43">
        <v>1.8800000000000001E-2</v>
      </c>
      <c r="K334" s="24">
        <f t="shared" si="265"/>
        <v>38</v>
      </c>
      <c r="L334" s="44">
        <f t="shared" si="266"/>
        <v>2.4377584000000003</v>
      </c>
      <c r="M334" s="27">
        <f t="shared" si="267"/>
        <v>92.63481920000001</v>
      </c>
      <c r="N334" s="27">
        <f t="shared" si="268"/>
        <v>244.40387399120002</v>
      </c>
      <c r="O334" s="76"/>
      <c r="P334" s="59"/>
      <c r="Q334" s="59"/>
      <c r="T334" s="61"/>
    </row>
    <row r="335" spans="1:20" s="60" customFormat="1" x14ac:dyDescent="0.3">
      <c r="A335" s="45">
        <f>IF(F335&lt;&gt;"",1+MAX($A$5:A334),"")</f>
        <v>171</v>
      </c>
      <c r="B335" s="106"/>
      <c r="C335" s="38" t="s">
        <v>180</v>
      </c>
      <c r="D335" s="55">
        <v>102.24</v>
      </c>
      <c r="E335" s="56">
        <v>0.1</v>
      </c>
      <c r="F335" s="57">
        <f t="shared" si="263"/>
        <v>112.464</v>
      </c>
      <c r="G335" s="58" t="s">
        <v>4</v>
      </c>
      <c r="H335" s="35">
        <v>1.1704433999999999</v>
      </c>
      <c r="I335" s="35">
        <f t="shared" si="264"/>
        <v>131.63274653759999</v>
      </c>
      <c r="J335" s="43">
        <v>1.8800000000000001E-2</v>
      </c>
      <c r="K335" s="24">
        <f t="shared" si="265"/>
        <v>38</v>
      </c>
      <c r="L335" s="44">
        <f t="shared" si="266"/>
        <v>2.1143231999999998</v>
      </c>
      <c r="M335" s="27">
        <f t="shared" si="267"/>
        <v>80.344281599999988</v>
      </c>
      <c r="N335" s="27">
        <f t="shared" si="268"/>
        <v>211.97702813759997</v>
      </c>
      <c r="O335" s="76"/>
      <c r="P335" s="59"/>
      <c r="Q335" s="59"/>
      <c r="T335" s="61"/>
    </row>
    <row r="336" spans="1:20" s="60" customFormat="1" x14ac:dyDescent="0.3">
      <c r="A336" s="45">
        <f>IF(F336&lt;&gt;"",1+MAX($A$5:A335),"")</f>
        <v>172</v>
      </c>
      <c r="B336" s="106"/>
      <c r="C336" s="38" t="s">
        <v>179</v>
      </c>
      <c r="D336" s="55">
        <v>6.67</v>
      </c>
      <c r="E336" s="56">
        <v>0.1</v>
      </c>
      <c r="F336" s="57">
        <f t="shared" si="263"/>
        <v>7.3370000000000006</v>
      </c>
      <c r="G336" s="58" t="s">
        <v>4</v>
      </c>
      <c r="H336" s="35">
        <v>1.1704433999999999</v>
      </c>
      <c r="I336" s="35">
        <f t="shared" si="264"/>
        <v>8.5875432257999993</v>
      </c>
      <c r="J336" s="43">
        <v>1.8800000000000001E-2</v>
      </c>
      <c r="K336" s="24">
        <f t="shared" si="265"/>
        <v>38</v>
      </c>
      <c r="L336" s="44">
        <f t="shared" si="266"/>
        <v>0.13793560000000002</v>
      </c>
      <c r="M336" s="27">
        <f t="shared" si="267"/>
        <v>5.2415528000000009</v>
      </c>
      <c r="N336" s="27">
        <f t="shared" si="268"/>
        <v>13.8290960258</v>
      </c>
      <c r="O336" s="76"/>
      <c r="P336" s="59"/>
      <c r="Q336" s="59"/>
      <c r="T336" s="61"/>
    </row>
    <row r="337" spans="1:20" s="60" customFormat="1" x14ac:dyDescent="0.3">
      <c r="A337" s="45">
        <f>IF(F337&lt;&gt;"",1+MAX($A$5:A336),"")</f>
        <v>173</v>
      </c>
      <c r="B337" s="106"/>
      <c r="C337" s="38" t="s">
        <v>178</v>
      </c>
      <c r="D337" s="55">
        <v>216.42</v>
      </c>
      <c r="E337" s="56">
        <v>0.1</v>
      </c>
      <c r="F337" s="57">
        <f t="shared" si="263"/>
        <v>238.06200000000001</v>
      </c>
      <c r="G337" s="58" t="s">
        <v>4</v>
      </c>
      <c r="H337" s="35">
        <v>1.1704433999999999</v>
      </c>
      <c r="I337" s="35">
        <f t="shared" si="264"/>
        <v>278.63809669080001</v>
      </c>
      <c r="J337" s="43">
        <v>1.8800000000000001E-2</v>
      </c>
      <c r="K337" s="24">
        <f t="shared" si="265"/>
        <v>38</v>
      </c>
      <c r="L337" s="44">
        <f t="shared" si="266"/>
        <v>4.4755656000000004</v>
      </c>
      <c r="M337" s="27">
        <f t="shared" si="267"/>
        <v>170.07149280000002</v>
      </c>
      <c r="N337" s="27">
        <f t="shared" si="268"/>
        <v>448.7095894908</v>
      </c>
      <c r="O337" s="76"/>
      <c r="P337" s="59"/>
      <c r="Q337" s="59"/>
      <c r="T337" s="61"/>
    </row>
    <row r="338" spans="1:20" s="60" customFormat="1" x14ac:dyDescent="0.3">
      <c r="A338" s="45">
        <f>IF(F338&lt;&gt;"",1+MAX($A$5:A337),"")</f>
        <v>174</v>
      </c>
      <c r="B338" s="106"/>
      <c r="C338" s="38" t="s">
        <v>177</v>
      </c>
      <c r="D338" s="55">
        <v>9</v>
      </c>
      <c r="E338" s="56">
        <v>0.1</v>
      </c>
      <c r="F338" s="57">
        <f t="shared" si="263"/>
        <v>9.9</v>
      </c>
      <c r="G338" s="58" t="s">
        <v>4</v>
      </c>
      <c r="H338" s="35">
        <v>43.449142799999997</v>
      </c>
      <c r="I338" s="35">
        <f t="shared" si="264"/>
        <v>430.14651371999997</v>
      </c>
      <c r="J338" s="43">
        <v>0.30080000000000001</v>
      </c>
      <c r="K338" s="24">
        <f t="shared" si="265"/>
        <v>38</v>
      </c>
      <c r="L338" s="44">
        <f t="shared" si="266"/>
        <v>2.9779200000000001</v>
      </c>
      <c r="M338" s="27">
        <f t="shared" si="267"/>
        <v>113.16096</v>
      </c>
      <c r="N338" s="27">
        <f t="shared" si="268"/>
        <v>543.30747371999996</v>
      </c>
      <c r="O338" s="76"/>
      <c r="P338" s="59"/>
      <c r="Q338" s="59"/>
      <c r="T338" s="61"/>
    </row>
    <row r="339" spans="1:20" s="60" customFormat="1" x14ac:dyDescent="0.3">
      <c r="A339" s="45">
        <f>IF(F339&lt;&gt;"",1+MAX($A$5:A338),"")</f>
        <v>175</v>
      </c>
      <c r="B339" s="106"/>
      <c r="C339" s="38" t="s">
        <v>176</v>
      </c>
      <c r="D339" s="55">
        <v>202.19</v>
      </c>
      <c r="E339" s="56">
        <v>0.1</v>
      </c>
      <c r="F339" s="57">
        <f t="shared" si="263"/>
        <v>222.40900000000002</v>
      </c>
      <c r="G339" s="58" t="s">
        <v>4</v>
      </c>
      <c r="H339" s="35">
        <v>3.0450560000000002</v>
      </c>
      <c r="I339" s="35">
        <f t="shared" si="264"/>
        <v>677.24785990400005</v>
      </c>
      <c r="J339" s="43">
        <v>3.7600000000000001E-2</v>
      </c>
      <c r="K339" s="24">
        <f t="shared" si="265"/>
        <v>38</v>
      </c>
      <c r="L339" s="44">
        <f t="shared" si="266"/>
        <v>8.3625784000000003</v>
      </c>
      <c r="M339" s="27">
        <f t="shared" si="267"/>
        <v>317.7779792</v>
      </c>
      <c r="N339" s="27">
        <f t="shared" si="268"/>
        <v>995.02583910400006</v>
      </c>
      <c r="O339" s="76"/>
      <c r="P339" s="59"/>
      <c r="Q339" s="59"/>
      <c r="T339" s="61"/>
    </row>
    <row r="340" spans="1:20" s="60" customFormat="1" x14ac:dyDescent="0.3">
      <c r="A340" s="45">
        <f>IF(F340&lt;&gt;"",1+MAX($A$5:A339),"")</f>
        <v>176</v>
      </c>
      <c r="B340" s="106"/>
      <c r="C340" s="38" t="s">
        <v>175</v>
      </c>
      <c r="D340" s="55">
        <v>240.5</v>
      </c>
      <c r="E340" s="56">
        <v>0.1</v>
      </c>
      <c r="F340" s="57">
        <f t="shared" si="263"/>
        <v>264.55</v>
      </c>
      <c r="G340" s="58" t="s">
        <v>4</v>
      </c>
      <c r="H340" s="35">
        <v>3.2658225599999997</v>
      </c>
      <c r="I340" s="35">
        <f t="shared" si="264"/>
        <v>863.97335824799995</v>
      </c>
      <c r="J340" s="43">
        <v>3.7600000000000001E-2</v>
      </c>
      <c r="K340" s="24">
        <f t="shared" si="265"/>
        <v>38</v>
      </c>
      <c r="L340" s="44">
        <f t="shared" si="266"/>
        <v>9.9470800000000015</v>
      </c>
      <c r="M340" s="27">
        <f t="shared" si="267"/>
        <v>377.98904000000005</v>
      </c>
      <c r="N340" s="27">
        <f t="shared" si="268"/>
        <v>1241.962398248</v>
      </c>
      <c r="O340" s="76"/>
      <c r="P340" s="59"/>
      <c r="Q340" s="59"/>
      <c r="T340" s="61"/>
    </row>
    <row r="341" spans="1:20" s="60" customFormat="1" x14ac:dyDescent="0.3">
      <c r="A341" s="45">
        <f>IF(F341&lt;&gt;"",1+MAX($A$5:A340),"")</f>
        <v>177</v>
      </c>
      <c r="B341" s="106"/>
      <c r="C341" s="38" t="s">
        <v>174</v>
      </c>
      <c r="D341" s="55">
        <v>6.67</v>
      </c>
      <c r="E341" s="56">
        <v>0.1</v>
      </c>
      <c r="F341" s="57">
        <f t="shared" si="263"/>
        <v>7.3370000000000006</v>
      </c>
      <c r="G341" s="58" t="s">
        <v>4</v>
      </c>
      <c r="H341" s="35">
        <v>2.2171814000000003</v>
      </c>
      <c r="I341" s="35">
        <f t="shared" si="264"/>
        <v>16.267459931800005</v>
      </c>
      <c r="J341" s="43">
        <v>4.1359999999999994E-2</v>
      </c>
      <c r="K341" s="24">
        <f t="shared" si="265"/>
        <v>38</v>
      </c>
      <c r="L341" s="44">
        <f t="shared" si="266"/>
        <v>0.30345832</v>
      </c>
      <c r="M341" s="27">
        <f t="shared" si="267"/>
        <v>11.531416160000001</v>
      </c>
      <c r="N341" s="27">
        <f t="shared" si="268"/>
        <v>27.798876091800004</v>
      </c>
      <c r="O341" s="76"/>
      <c r="P341" s="59"/>
      <c r="Q341" s="59"/>
      <c r="T341" s="61"/>
    </row>
    <row r="342" spans="1:20" s="60" customFormat="1" x14ac:dyDescent="0.3">
      <c r="A342" s="45">
        <f>IF(F342&lt;&gt;"",1+MAX($A$5:A341),"")</f>
        <v>178</v>
      </c>
      <c r="B342" s="106"/>
      <c r="C342" s="38" t="s">
        <v>173</v>
      </c>
      <c r="D342" s="55">
        <v>42.99</v>
      </c>
      <c r="E342" s="56">
        <v>0.1</v>
      </c>
      <c r="F342" s="57">
        <f t="shared" si="263"/>
        <v>47.289000000000009</v>
      </c>
      <c r="G342" s="58" t="s">
        <v>4</v>
      </c>
      <c r="H342" s="35">
        <v>7.4223239999999997</v>
      </c>
      <c r="I342" s="35">
        <f t="shared" si="264"/>
        <v>350.99427963600004</v>
      </c>
      <c r="J342" s="43">
        <v>5.2639999999999999E-2</v>
      </c>
      <c r="K342" s="24">
        <f t="shared" si="265"/>
        <v>38</v>
      </c>
      <c r="L342" s="44">
        <f t="shared" si="266"/>
        <v>2.4892929600000002</v>
      </c>
      <c r="M342" s="27">
        <f t="shared" si="267"/>
        <v>94.593132480000008</v>
      </c>
      <c r="N342" s="27">
        <f t="shared" si="268"/>
        <v>445.58741211600005</v>
      </c>
      <c r="O342" s="76"/>
      <c r="P342" s="59"/>
      <c r="Q342" s="59"/>
      <c r="T342" s="61"/>
    </row>
    <row r="343" spans="1:20" s="60" customFormat="1" x14ac:dyDescent="0.3">
      <c r="A343" s="45">
        <f>IF(F343&lt;&gt;"",1+MAX($A$5:A342),"")</f>
        <v>179</v>
      </c>
      <c r="B343" s="106"/>
      <c r="C343" s="38" t="s">
        <v>172</v>
      </c>
      <c r="D343" s="55">
        <v>3</v>
      </c>
      <c r="E343" s="56">
        <v>0</v>
      </c>
      <c r="F343" s="57">
        <f t="shared" si="263"/>
        <v>3</v>
      </c>
      <c r="G343" s="58" t="s">
        <v>3</v>
      </c>
      <c r="H343" s="35">
        <v>209.3476</v>
      </c>
      <c r="I343" s="35">
        <f t="shared" si="264"/>
        <v>628.04279999999994</v>
      </c>
      <c r="J343" s="43">
        <v>1.3535999999999999</v>
      </c>
      <c r="K343" s="24">
        <f t="shared" si="265"/>
        <v>38</v>
      </c>
      <c r="L343" s="44">
        <f t="shared" si="266"/>
        <v>4.0607999999999995</v>
      </c>
      <c r="M343" s="27">
        <f t="shared" si="267"/>
        <v>154.31039999999999</v>
      </c>
      <c r="N343" s="27">
        <f t="shared" si="268"/>
        <v>782.3531999999999</v>
      </c>
      <c r="O343" s="76"/>
      <c r="P343" s="59"/>
      <c r="Q343" s="59"/>
      <c r="T343" s="61"/>
    </row>
    <row r="344" spans="1:20" s="60" customFormat="1" x14ac:dyDescent="0.3">
      <c r="A344" s="45">
        <f>IF(F344&lt;&gt;"",1+MAX($A$5:A343),"")</f>
        <v>180</v>
      </c>
      <c r="B344" s="106"/>
      <c r="C344" s="38" t="s">
        <v>171</v>
      </c>
      <c r="D344" s="55">
        <v>3</v>
      </c>
      <c r="E344" s="56">
        <v>0</v>
      </c>
      <c r="F344" s="57">
        <f t="shared" si="263"/>
        <v>3</v>
      </c>
      <c r="G344" s="58" t="s">
        <v>3</v>
      </c>
      <c r="H344" s="35">
        <v>262.63607999999999</v>
      </c>
      <c r="I344" s="35">
        <f t="shared" si="264"/>
        <v>787.90823999999998</v>
      </c>
      <c r="J344" s="43">
        <v>1.3535999999999999</v>
      </c>
      <c r="K344" s="24">
        <f t="shared" si="265"/>
        <v>38</v>
      </c>
      <c r="L344" s="44">
        <f t="shared" si="266"/>
        <v>4.0607999999999995</v>
      </c>
      <c r="M344" s="27">
        <f t="shared" si="267"/>
        <v>154.31039999999999</v>
      </c>
      <c r="N344" s="27">
        <f t="shared" si="268"/>
        <v>942.21863999999994</v>
      </c>
      <c r="O344" s="76"/>
      <c r="P344" s="59"/>
      <c r="Q344" s="59"/>
      <c r="T344" s="61"/>
    </row>
    <row r="345" spans="1:20" s="60" customFormat="1" x14ac:dyDescent="0.3">
      <c r="A345" s="45">
        <f>IF(F345&lt;&gt;"",1+MAX($A$5:A344),"")</f>
        <v>181</v>
      </c>
      <c r="B345" s="106"/>
      <c r="C345" s="38" t="s">
        <v>170</v>
      </c>
      <c r="D345" s="55">
        <v>4</v>
      </c>
      <c r="E345" s="56">
        <v>0</v>
      </c>
      <c r="F345" s="57">
        <f t="shared" si="263"/>
        <v>4</v>
      </c>
      <c r="G345" s="58" t="s">
        <v>3</v>
      </c>
      <c r="H345" s="35">
        <v>32.829509999999999</v>
      </c>
      <c r="I345" s="35">
        <f t="shared" si="264"/>
        <v>131.31804</v>
      </c>
      <c r="J345" s="43">
        <v>0.376</v>
      </c>
      <c r="K345" s="24">
        <f t="shared" si="265"/>
        <v>38</v>
      </c>
      <c r="L345" s="44">
        <f t="shared" si="266"/>
        <v>1.504</v>
      </c>
      <c r="M345" s="27">
        <f t="shared" si="267"/>
        <v>57.152000000000001</v>
      </c>
      <c r="N345" s="27">
        <f t="shared" si="268"/>
        <v>188.47003999999998</v>
      </c>
      <c r="O345" s="76"/>
      <c r="P345" s="59"/>
      <c r="Q345" s="59"/>
      <c r="T345" s="61"/>
    </row>
    <row r="346" spans="1:20" s="60" customFormat="1" x14ac:dyDescent="0.3">
      <c r="A346" s="45">
        <f>IF(F346&lt;&gt;"",1+MAX($A$5:A345),"")</f>
        <v>182</v>
      </c>
      <c r="B346" s="106"/>
      <c r="C346" s="38" t="s">
        <v>169</v>
      </c>
      <c r="D346" s="55">
        <v>4</v>
      </c>
      <c r="E346" s="56">
        <v>0.1</v>
      </c>
      <c r="F346" s="57">
        <f t="shared" si="263"/>
        <v>4.4000000000000004</v>
      </c>
      <c r="G346" s="58" t="s">
        <v>4</v>
      </c>
      <c r="H346" s="35">
        <v>42.821100000000001</v>
      </c>
      <c r="I346" s="35">
        <f t="shared" si="264"/>
        <v>188.41284000000002</v>
      </c>
      <c r="J346" s="43">
        <v>0.3196</v>
      </c>
      <c r="K346" s="24">
        <f t="shared" si="265"/>
        <v>38</v>
      </c>
      <c r="L346" s="44">
        <f t="shared" si="266"/>
        <v>1.4062400000000002</v>
      </c>
      <c r="M346" s="27">
        <f t="shared" si="267"/>
        <v>53.437120000000007</v>
      </c>
      <c r="N346" s="27">
        <f t="shared" si="268"/>
        <v>241.84996000000001</v>
      </c>
      <c r="O346" s="76"/>
      <c r="P346" s="59"/>
      <c r="Q346" s="59"/>
      <c r="T346" s="61"/>
    </row>
    <row r="347" spans="1:20" s="60" customFormat="1" x14ac:dyDescent="0.3">
      <c r="A347" s="45" t="str">
        <f>IF(F347&lt;&gt;"",1+MAX($A$5:A346),"")</f>
        <v/>
      </c>
      <c r="B347" s="106"/>
      <c r="C347" s="38"/>
      <c r="D347" s="55"/>
      <c r="E347" s="56"/>
      <c r="F347" s="57"/>
      <c r="G347" s="58"/>
      <c r="H347" s="35"/>
      <c r="I347" s="35"/>
      <c r="J347" s="43"/>
      <c r="K347" s="24"/>
      <c r="L347" s="44"/>
      <c r="M347" s="27"/>
      <c r="N347" s="27"/>
      <c r="O347" s="76"/>
      <c r="P347" s="59"/>
      <c r="Q347" s="59"/>
      <c r="T347" s="61"/>
    </row>
    <row r="348" spans="1:20" s="60" customFormat="1" x14ac:dyDescent="0.3">
      <c r="A348" s="45" t="str">
        <f>IF(F348&lt;&gt;"",1+MAX($A$5:A347),"")</f>
        <v/>
      </c>
      <c r="B348" s="106"/>
      <c r="C348" s="86" t="s">
        <v>168</v>
      </c>
      <c r="D348" s="55"/>
      <c r="E348" s="56"/>
      <c r="F348" s="57"/>
      <c r="G348" s="58"/>
      <c r="H348" s="35"/>
      <c r="I348" s="35"/>
      <c r="J348" s="43"/>
      <c r="K348" s="24"/>
      <c r="L348" s="44"/>
      <c r="M348" s="27"/>
      <c r="N348" s="27"/>
      <c r="O348" s="76"/>
      <c r="P348" s="59"/>
      <c r="Q348" s="59"/>
      <c r="T348" s="61"/>
    </row>
    <row r="349" spans="1:20" s="60" customFormat="1" x14ac:dyDescent="0.3">
      <c r="A349" s="45">
        <f>IF(F349&lt;&gt;"",1+MAX($A$5:A348),"")</f>
        <v>183</v>
      </c>
      <c r="B349" s="106"/>
      <c r="C349" s="38" t="s">
        <v>167</v>
      </c>
      <c r="D349" s="55">
        <v>962</v>
      </c>
      <c r="E349" s="56">
        <v>0.1</v>
      </c>
      <c r="F349" s="57">
        <f>(1+E349)*D349</f>
        <v>1058.2</v>
      </c>
      <c r="G349" s="58" t="s">
        <v>5</v>
      </c>
      <c r="H349" s="35">
        <v>5.1861109999999995</v>
      </c>
      <c r="I349" s="35">
        <f t="shared" ref="I349" si="269">H349*F349</f>
        <v>5487.9426601999994</v>
      </c>
      <c r="J349" s="43">
        <v>5.6399999999999992E-2</v>
      </c>
      <c r="K349" s="24">
        <f>$N$144</f>
        <v>38</v>
      </c>
      <c r="L349" s="44">
        <f t="shared" ref="L349" si="270">J349*F349</f>
        <v>59.682479999999991</v>
      </c>
      <c r="M349" s="27">
        <f t="shared" ref="M349" si="271">L349*K349</f>
        <v>2267.9342399999996</v>
      </c>
      <c r="N349" s="27">
        <f t="shared" ref="N349" si="272">M349+I349</f>
        <v>7755.876900199999</v>
      </c>
      <c r="O349" s="76"/>
      <c r="P349" s="59"/>
      <c r="Q349" s="59"/>
      <c r="T349" s="61"/>
    </row>
    <row r="350" spans="1:20" s="60" customFormat="1" x14ac:dyDescent="0.3">
      <c r="A350" s="45" t="str">
        <f>IF(F350&lt;&gt;"",1+MAX($A$5:A349),"")</f>
        <v/>
      </c>
      <c r="B350" s="106"/>
      <c r="C350" s="38"/>
      <c r="D350" s="55"/>
      <c r="E350" s="56"/>
      <c r="F350" s="57"/>
      <c r="G350" s="58"/>
      <c r="H350" s="35"/>
      <c r="I350" s="35"/>
      <c r="J350" s="43"/>
      <c r="K350" s="24"/>
      <c r="L350" s="44"/>
      <c r="M350" s="27"/>
      <c r="N350" s="27"/>
      <c r="O350" s="76"/>
      <c r="P350" s="59"/>
      <c r="Q350" s="59"/>
      <c r="T350" s="61"/>
    </row>
    <row r="351" spans="1:20" s="60" customFormat="1" x14ac:dyDescent="0.3">
      <c r="A351" s="45" t="str">
        <f>IF(F351&lt;&gt;"",1+MAX($A$5:A350),"")</f>
        <v/>
      </c>
      <c r="B351" s="106"/>
      <c r="C351" s="86" t="s">
        <v>74</v>
      </c>
      <c r="D351" s="55"/>
      <c r="E351" s="56"/>
      <c r="F351" s="57"/>
      <c r="G351" s="58"/>
      <c r="H351" s="35"/>
      <c r="I351" s="35"/>
      <c r="J351" s="43"/>
      <c r="K351" s="24"/>
      <c r="L351" s="44"/>
      <c r="M351" s="27"/>
      <c r="N351" s="27"/>
      <c r="O351" s="76"/>
      <c r="P351" s="59"/>
      <c r="Q351" s="59"/>
      <c r="T351" s="61"/>
    </row>
    <row r="352" spans="1:20" s="60" customFormat="1" x14ac:dyDescent="0.3">
      <c r="A352" s="45">
        <f>IF(F352&lt;&gt;"",1+MAX($A$5:A351),"")</f>
        <v>184</v>
      </c>
      <c r="B352" s="106"/>
      <c r="C352" s="38" t="s">
        <v>166</v>
      </c>
      <c r="D352" s="55">
        <v>7468</v>
      </c>
      <c r="E352" s="56">
        <v>0.1</v>
      </c>
      <c r="F352" s="57">
        <f>(1+E352)*D352</f>
        <v>8214.8000000000011</v>
      </c>
      <c r="G352" s="58" t="s">
        <v>5</v>
      </c>
      <c r="H352" s="35">
        <v>0.84690620000000005</v>
      </c>
      <c r="I352" s="35">
        <f t="shared" ref="I352" si="273">H352*F352</f>
        <v>6957.165051760001</v>
      </c>
      <c r="J352" s="43">
        <v>2.8199999999999996E-2</v>
      </c>
      <c r="K352" s="24">
        <f>$N$144</f>
        <v>38</v>
      </c>
      <c r="L352" s="44">
        <f t="shared" ref="L352" si="274">J352*F352</f>
        <v>231.65736000000001</v>
      </c>
      <c r="M352" s="27">
        <f t="shared" ref="M352" si="275">L352*K352</f>
        <v>8802.9796800000004</v>
      </c>
      <c r="N352" s="27">
        <f t="shared" ref="N352" si="276">M352+I352</f>
        <v>15760.144731760001</v>
      </c>
      <c r="O352" s="76"/>
      <c r="P352" s="59"/>
      <c r="Q352" s="59"/>
      <c r="T352" s="61"/>
    </row>
    <row r="353" spans="1:20" s="60" customFormat="1" x14ac:dyDescent="0.3">
      <c r="A353" s="45" t="str">
        <f>IF(F353&lt;&gt;"",1+MAX($A$5:A352),"")</f>
        <v/>
      </c>
      <c r="B353" s="106"/>
      <c r="C353" s="38"/>
      <c r="D353" s="55"/>
      <c r="E353" s="56"/>
      <c r="F353" s="57"/>
      <c r="G353" s="58"/>
      <c r="H353" s="35"/>
      <c r="I353" s="35"/>
      <c r="J353" s="43"/>
      <c r="K353" s="24"/>
      <c r="L353" s="44"/>
      <c r="M353" s="27"/>
      <c r="N353" s="27"/>
      <c r="O353" s="76"/>
      <c r="P353" s="59"/>
      <c r="Q353" s="59"/>
      <c r="T353" s="61"/>
    </row>
    <row r="354" spans="1:20" s="60" customFormat="1" x14ac:dyDescent="0.3">
      <c r="A354" s="45" t="str">
        <f>IF(F354&lt;&gt;"",1+MAX($A$5:A353),"")</f>
        <v/>
      </c>
      <c r="B354" s="106"/>
      <c r="C354" s="86" t="s">
        <v>50</v>
      </c>
      <c r="D354" s="55"/>
      <c r="E354" s="56"/>
      <c r="F354" s="57"/>
      <c r="G354" s="58"/>
      <c r="H354" s="35"/>
      <c r="I354" s="35"/>
      <c r="J354" s="43"/>
      <c r="K354" s="24"/>
      <c r="L354" s="44"/>
      <c r="M354" s="27"/>
      <c r="N354" s="27"/>
      <c r="O354" s="76"/>
      <c r="P354" s="59"/>
      <c r="Q354" s="59"/>
      <c r="T354" s="61"/>
    </row>
    <row r="355" spans="1:20" s="60" customFormat="1" x14ac:dyDescent="0.3">
      <c r="A355" s="45">
        <f>IF(F355&lt;&gt;"",1+MAX($A$5:A354),"")</f>
        <v>185</v>
      </c>
      <c r="B355" s="106"/>
      <c r="C355" s="38" t="s">
        <v>49</v>
      </c>
      <c r="D355" s="55">
        <v>955.596</v>
      </c>
      <c r="E355" s="56">
        <v>0.1</v>
      </c>
      <c r="F355" s="57">
        <f>(1+E355)*D355</f>
        <v>1051.1556</v>
      </c>
      <c r="G355" s="58" t="s">
        <v>4</v>
      </c>
      <c r="H355" s="35">
        <v>0.63755859999999998</v>
      </c>
      <c r="I355" s="35">
        <f t="shared" ref="I355:I356" si="277">H355*F355</f>
        <v>670.17329271816004</v>
      </c>
      <c r="J355" s="43">
        <v>8.3660000000000002E-3</v>
      </c>
      <c r="K355" s="24">
        <f t="shared" ref="K355:K356" si="278">$N$144</f>
        <v>38</v>
      </c>
      <c r="L355" s="44">
        <f t="shared" ref="L355:L356" si="279">J355*F355</f>
        <v>8.7939677496000002</v>
      </c>
      <c r="M355" s="27">
        <f t="shared" ref="M355:M356" si="280">L355*K355</f>
        <v>334.17077448480001</v>
      </c>
      <c r="N355" s="27">
        <f t="shared" ref="N355:N356" si="281">M355+I355</f>
        <v>1004.3440672029601</v>
      </c>
      <c r="O355" s="76"/>
      <c r="P355" s="59"/>
      <c r="Q355" s="59"/>
      <c r="T355" s="61"/>
    </row>
    <row r="356" spans="1:20" s="60" customFormat="1" x14ac:dyDescent="0.3">
      <c r="A356" s="45">
        <f>IF(F356&lt;&gt;"",1+MAX($A$5:A355),"")</f>
        <v>186</v>
      </c>
      <c r="B356" s="106"/>
      <c r="C356" s="38" t="s">
        <v>165</v>
      </c>
      <c r="D356" s="55">
        <v>25</v>
      </c>
      <c r="E356" s="56">
        <v>0.1</v>
      </c>
      <c r="F356" s="57">
        <f>(1+E356)*D356</f>
        <v>27.500000000000004</v>
      </c>
      <c r="G356" s="58" t="s">
        <v>3</v>
      </c>
      <c r="H356" s="35">
        <v>32.829509999999999</v>
      </c>
      <c r="I356" s="35">
        <f t="shared" si="277"/>
        <v>902.81152500000007</v>
      </c>
      <c r="J356" s="43">
        <v>0.52639999999999998</v>
      </c>
      <c r="K356" s="24">
        <f t="shared" si="278"/>
        <v>38</v>
      </c>
      <c r="L356" s="44">
        <f t="shared" si="279"/>
        <v>14.476000000000001</v>
      </c>
      <c r="M356" s="27">
        <f t="shared" si="280"/>
        <v>550.08800000000008</v>
      </c>
      <c r="N356" s="27">
        <f t="shared" si="281"/>
        <v>1452.8995250000003</v>
      </c>
      <c r="O356" s="76"/>
      <c r="P356" s="59"/>
      <c r="Q356" s="59"/>
      <c r="T356" s="61"/>
    </row>
    <row r="357" spans="1:20" s="60" customFormat="1" x14ac:dyDescent="0.3">
      <c r="A357" s="45" t="str">
        <f>IF(F357&lt;&gt;"",1+MAX($A$5:A356),"")</f>
        <v/>
      </c>
      <c r="B357" s="91"/>
      <c r="C357" s="38"/>
      <c r="D357" s="55"/>
      <c r="E357" s="56"/>
      <c r="F357" s="57"/>
      <c r="G357" s="58"/>
      <c r="H357" s="35"/>
      <c r="I357" s="35"/>
      <c r="J357" s="43"/>
      <c r="K357" s="24"/>
      <c r="L357" s="44"/>
      <c r="M357" s="27"/>
      <c r="N357" s="27"/>
      <c r="O357" s="76"/>
      <c r="P357" s="59"/>
      <c r="Q357" s="59"/>
      <c r="T357" s="61"/>
    </row>
    <row r="358" spans="1:20" s="3" customFormat="1" x14ac:dyDescent="0.25">
      <c r="A358" s="31"/>
      <c r="B358" s="62"/>
      <c r="C358" s="17" t="s">
        <v>26</v>
      </c>
      <c r="D358" s="25"/>
      <c r="E358" s="8"/>
      <c r="F358" s="28"/>
      <c r="G358" s="8"/>
      <c r="H358" s="8"/>
      <c r="I358" s="8"/>
      <c r="J358" s="8"/>
      <c r="K358" s="8"/>
      <c r="L358" s="8"/>
      <c r="M358" s="22"/>
      <c r="N358" s="8"/>
      <c r="O358" s="9">
        <f>SUM(N360:N365)</f>
        <v>2023.6555799999999</v>
      </c>
      <c r="P358" s="59"/>
      <c r="Q358" s="2"/>
      <c r="T358" s="16"/>
    </row>
    <row r="359" spans="1:20" s="3" customFormat="1" ht="15.6" customHeight="1" x14ac:dyDescent="0.25">
      <c r="A359" s="45" t="str">
        <f>IF(F359&lt;&gt;"",1+MAX($A$5:A358),"")</f>
        <v/>
      </c>
      <c r="B359" s="107" t="s">
        <v>141</v>
      </c>
      <c r="C359" s="18"/>
      <c r="D359" s="19"/>
      <c r="E359" s="20"/>
      <c r="F359" s="29"/>
      <c r="G359" s="21"/>
      <c r="H359" s="21"/>
      <c r="I359" s="21"/>
      <c r="J359" s="21"/>
      <c r="K359" s="21"/>
      <c r="L359" s="21"/>
      <c r="M359" s="40" t="s">
        <v>21</v>
      </c>
      <c r="N359" s="41">
        <v>36</v>
      </c>
      <c r="O359" s="76"/>
      <c r="P359" s="59"/>
      <c r="Q359" s="2"/>
      <c r="T359" s="16"/>
    </row>
    <row r="360" spans="1:20" s="60" customFormat="1" x14ac:dyDescent="0.3">
      <c r="A360" s="45" t="str">
        <f>IF(F360&lt;&gt;"",1+MAX($A$5:A359),"")</f>
        <v/>
      </c>
      <c r="B360" s="106"/>
      <c r="C360" s="86" t="s">
        <v>61</v>
      </c>
      <c r="D360" s="55"/>
      <c r="E360" s="56"/>
      <c r="F360" s="57"/>
      <c r="G360" s="58"/>
      <c r="H360" s="35"/>
      <c r="I360" s="35"/>
      <c r="J360" s="43"/>
      <c r="K360" s="24"/>
      <c r="L360" s="44"/>
      <c r="M360" s="27"/>
      <c r="N360" s="27"/>
      <c r="O360" s="76"/>
      <c r="P360" s="59"/>
      <c r="Q360" s="59"/>
      <c r="T360" s="61"/>
    </row>
    <row r="361" spans="1:20" s="60" customFormat="1" x14ac:dyDescent="0.3">
      <c r="A361" s="45">
        <f>IF(F361&lt;&gt;"",1+MAX($A$5:A360),"")</f>
        <v>187</v>
      </c>
      <c r="B361" s="106"/>
      <c r="C361" s="38" t="s">
        <v>233</v>
      </c>
      <c r="D361" s="55">
        <v>3</v>
      </c>
      <c r="E361" s="56">
        <v>0</v>
      </c>
      <c r="F361" s="57">
        <f>(1+E361)*D361</f>
        <v>3</v>
      </c>
      <c r="G361" s="58" t="s">
        <v>3</v>
      </c>
      <c r="H361" s="35">
        <v>27.518139999999999</v>
      </c>
      <c r="I361" s="35">
        <f t="shared" ref="I361" si="282">H361*F361</f>
        <v>82.554419999999993</v>
      </c>
      <c r="J361" s="43">
        <v>0.3196</v>
      </c>
      <c r="K361" s="24">
        <f>$N$359</f>
        <v>36</v>
      </c>
      <c r="L361" s="44">
        <f t="shared" ref="L361" si="283">J361*F361</f>
        <v>0.95879999999999999</v>
      </c>
      <c r="M361" s="27">
        <f t="shared" ref="M361" si="284">L361*K361</f>
        <v>34.516799999999996</v>
      </c>
      <c r="N361" s="27">
        <f t="shared" ref="N361" si="285">M361+I361</f>
        <v>117.07121999999998</v>
      </c>
      <c r="O361" s="76"/>
      <c r="P361" s="59"/>
      <c r="Q361" s="59"/>
      <c r="T361" s="61"/>
    </row>
    <row r="362" spans="1:20" s="60" customFormat="1" x14ac:dyDescent="0.3">
      <c r="A362" s="45">
        <f>IF(F362&lt;&gt;"",1+MAX($A$5:A361),"")</f>
        <v>188</v>
      </c>
      <c r="B362" s="106"/>
      <c r="C362" s="38" t="s">
        <v>232</v>
      </c>
      <c r="D362" s="55">
        <v>5</v>
      </c>
      <c r="E362" s="56">
        <v>0</v>
      </c>
      <c r="F362" s="57">
        <f>(1+E362)*D362</f>
        <v>5</v>
      </c>
      <c r="G362" s="58" t="s">
        <v>3</v>
      </c>
      <c r="H362" s="35">
        <v>43.695</v>
      </c>
      <c r="I362" s="35">
        <f t="shared" ref="I362:I364" si="286">H362*F362</f>
        <v>218.47499999999999</v>
      </c>
      <c r="J362" s="43">
        <v>0.376</v>
      </c>
      <c r="K362" s="24">
        <f t="shared" ref="K362:K364" si="287">$N$359</f>
        <v>36</v>
      </c>
      <c r="L362" s="44">
        <f t="shared" ref="L362:L364" si="288">J362*F362</f>
        <v>1.88</v>
      </c>
      <c r="M362" s="27">
        <f t="shared" ref="M362:M364" si="289">L362*K362</f>
        <v>67.679999999999993</v>
      </c>
      <c r="N362" s="27">
        <f t="shared" ref="N362:N364" si="290">M362+I362</f>
        <v>286.15499999999997</v>
      </c>
      <c r="O362" s="76"/>
      <c r="P362" s="59"/>
      <c r="Q362" s="59"/>
      <c r="T362" s="61"/>
    </row>
    <row r="363" spans="1:20" s="60" customFormat="1" x14ac:dyDescent="0.3">
      <c r="A363" s="45">
        <f>IF(F363&lt;&gt;"",1+MAX($A$5:A362),"")</f>
        <v>189</v>
      </c>
      <c r="B363" s="106"/>
      <c r="C363" s="38" t="s">
        <v>231</v>
      </c>
      <c r="D363" s="55">
        <v>2</v>
      </c>
      <c r="E363" s="56">
        <v>0</v>
      </c>
      <c r="F363" s="57">
        <f>(1+E363)*D363</f>
        <v>2</v>
      </c>
      <c r="G363" s="58" t="s">
        <v>3</v>
      </c>
      <c r="H363" s="35">
        <v>50.802720000000001</v>
      </c>
      <c r="I363" s="35">
        <f t="shared" si="286"/>
        <v>101.60544</v>
      </c>
      <c r="J363" s="43">
        <v>0.32335999999999998</v>
      </c>
      <c r="K363" s="24">
        <f t="shared" si="287"/>
        <v>36</v>
      </c>
      <c r="L363" s="44">
        <f t="shared" si="288"/>
        <v>0.64671999999999996</v>
      </c>
      <c r="M363" s="27">
        <f t="shared" si="289"/>
        <v>23.28192</v>
      </c>
      <c r="N363" s="27">
        <f t="shared" si="290"/>
        <v>124.88736</v>
      </c>
      <c r="O363" s="76"/>
      <c r="P363" s="59"/>
      <c r="Q363" s="59"/>
      <c r="T363" s="61"/>
    </row>
    <row r="364" spans="1:20" s="60" customFormat="1" x14ac:dyDescent="0.3">
      <c r="A364" s="45">
        <f>IF(F364&lt;&gt;"",1+MAX($A$5:A363),"")</f>
        <v>190</v>
      </c>
      <c r="B364" s="106"/>
      <c r="C364" s="38" t="s">
        <v>230</v>
      </c>
      <c r="D364" s="55">
        <v>6</v>
      </c>
      <c r="E364" s="56">
        <v>0</v>
      </c>
      <c r="F364" s="57">
        <f>(1+E364)*D364</f>
        <v>6</v>
      </c>
      <c r="G364" s="58" t="s">
        <v>3</v>
      </c>
      <c r="H364" s="35">
        <v>181.577</v>
      </c>
      <c r="I364" s="35">
        <f t="shared" si="286"/>
        <v>1089.462</v>
      </c>
      <c r="J364" s="43">
        <v>1.88</v>
      </c>
      <c r="K364" s="24">
        <f t="shared" si="287"/>
        <v>36</v>
      </c>
      <c r="L364" s="44">
        <f t="shared" si="288"/>
        <v>11.28</v>
      </c>
      <c r="M364" s="27">
        <f t="shared" si="289"/>
        <v>406.08</v>
      </c>
      <c r="N364" s="27">
        <f t="shared" si="290"/>
        <v>1495.5419999999999</v>
      </c>
      <c r="O364" s="76"/>
      <c r="P364" s="59"/>
      <c r="Q364" s="59"/>
      <c r="T364" s="61"/>
    </row>
    <row r="365" spans="1:20" s="60" customFormat="1" x14ac:dyDescent="0.3">
      <c r="A365" s="45" t="str">
        <f>IF(F365&lt;&gt;"",1+MAX($A$5:A364),"")</f>
        <v/>
      </c>
      <c r="B365" s="106"/>
      <c r="C365" s="38"/>
      <c r="D365" s="55"/>
      <c r="E365" s="56"/>
      <c r="F365" s="57"/>
      <c r="G365" s="58"/>
      <c r="H365" s="35"/>
      <c r="I365" s="35"/>
      <c r="J365" s="43"/>
      <c r="K365" s="24"/>
      <c r="L365" s="44"/>
      <c r="M365" s="27"/>
      <c r="N365" s="27"/>
      <c r="O365" s="76"/>
      <c r="P365" s="59"/>
      <c r="Q365" s="59"/>
      <c r="T365" s="61"/>
    </row>
    <row r="366" spans="1:20" s="3" customFormat="1" x14ac:dyDescent="0.25">
      <c r="A366" s="31"/>
      <c r="B366" s="62"/>
      <c r="C366" s="17" t="s">
        <v>27</v>
      </c>
      <c r="D366" s="25"/>
      <c r="E366" s="8"/>
      <c r="F366" s="28"/>
      <c r="G366" s="8"/>
      <c r="H366" s="8"/>
      <c r="I366" s="8"/>
      <c r="J366" s="8"/>
      <c r="K366" s="8"/>
      <c r="L366" s="8"/>
      <c r="M366" s="22"/>
      <c r="N366" s="8"/>
      <c r="O366" s="9">
        <f>SUM(N368:N375)</f>
        <v>18177.3678</v>
      </c>
      <c r="P366" s="59"/>
      <c r="Q366" s="2"/>
      <c r="T366" s="16"/>
    </row>
    <row r="367" spans="1:20" s="3" customFormat="1" ht="15.6" customHeight="1" x14ac:dyDescent="0.25">
      <c r="A367" s="45" t="str">
        <f>IF(F367&lt;&gt;"",1+MAX($A$5:A366),"")</f>
        <v/>
      </c>
      <c r="B367" s="91"/>
      <c r="C367" s="18"/>
      <c r="D367" s="19"/>
      <c r="E367" s="20"/>
      <c r="F367" s="29"/>
      <c r="G367" s="21"/>
      <c r="H367" s="21"/>
      <c r="I367" s="21"/>
      <c r="J367" s="21"/>
      <c r="K367" s="21"/>
      <c r="L367" s="21"/>
      <c r="M367" s="40" t="s">
        <v>21</v>
      </c>
      <c r="N367" s="41">
        <v>36</v>
      </c>
      <c r="O367" s="76"/>
      <c r="P367" s="59"/>
      <c r="Q367" s="2"/>
      <c r="T367" s="16"/>
    </row>
    <row r="368" spans="1:20" s="60" customFormat="1" x14ac:dyDescent="0.3">
      <c r="A368" s="45" t="str">
        <f>IF(F368&lt;&gt;"",1+MAX($A$5:A367),"")</f>
        <v/>
      </c>
      <c r="B368" s="106" t="s">
        <v>141</v>
      </c>
      <c r="C368" s="86" t="s">
        <v>115</v>
      </c>
      <c r="D368" s="55"/>
      <c r="E368" s="56"/>
      <c r="F368" s="57"/>
      <c r="G368" s="58"/>
      <c r="H368" s="35"/>
      <c r="I368" s="35"/>
      <c r="J368" s="43"/>
      <c r="K368" s="24"/>
      <c r="L368" s="44"/>
      <c r="M368" s="27"/>
      <c r="N368" s="27"/>
      <c r="O368" s="76"/>
      <c r="P368" s="59"/>
      <c r="Q368" s="59"/>
      <c r="T368" s="61"/>
    </row>
    <row r="369" spans="1:20" s="60" customFormat="1" x14ac:dyDescent="0.3">
      <c r="A369" s="45">
        <f>IF(F369&lt;&gt;"",1+MAX($A$5:A368),"")</f>
        <v>191</v>
      </c>
      <c r="B369" s="106"/>
      <c r="C369" s="38" t="s">
        <v>239</v>
      </c>
      <c r="D369" s="55">
        <v>2</v>
      </c>
      <c r="E369" s="56">
        <v>0</v>
      </c>
      <c r="F369" s="57">
        <f t="shared" ref="F369:F374" si="291">(1+E369)*D369</f>
        <v>2</v>
      </c>
      <c r="G369" s="58" t="s">
        <v>3</v>
      </c>
      <c r="H369" s="35">
        <v>3445.1079999999997</v>
      </c>
      <c r="I369" s="35">
        <f t="shared" ref="I369" si="292">H369*F369</f>
        <v>6890.2159999999994</v>
      </c>
      <c r="J369" s="43">
        <v>5.3204000000000002</v>
      </c>
      <c r="K369" s="24">
        <f>$N$367</f>
        <v>36</v>
      </c>
      <c r="L369" s="44">
        <f t="shared" ref="L369" si="293">J369*F369</f>
        <v>10.6408</v>
      </c>
      <c r="M369" s="27">
        <f t="shared" ref="M369" si="294">L369*K369</f>
        <v>383.06880000000001</v>
      </c>
      <c r="N369" s="27">
        <f t="shared" ref="N369" si="295">M369+I369</f>
        <v>7273.2847999999994</v>
      </c>
      <c r="O369" s="76"/>
      <c r="P369" s="59"/>
      <c r="Q369" s="59"/>
      <c r="T369" s="61"/>
    </row>
    <row r="370" spans="1:20" s="60" customFormat="1" x14ac:dyDescent="0.3">
      <c r="A370" s="45">
        <f>IF(F370&lt;&gt;"",1+MAX($A$5:A369),"")</f>
        <v>192</v>
      </c>
      <c r="B370" s="106"/>
      <c r="C370" s="38" t="s">
        <v>238</v>
      </c>
      <c r="D370" s="55">
        <v>1</v>
      </c>
      <c r="E370" s="56">
        <v>0</v>
      </c>
      <c r="F370" s="57">
        <f t="shared" si="291"/>
        <v>1</v>
      </c>
      <c r="G370" s="58" t="s">
        <v>3</v>
      </c>
      <c r="H370" s="35">
        <v>2165.33</v>
      </c>
      <c r="I370" s="35">
        <f t="shared" ref="I370:I374" si="296">H370*F370</f>
        <v>2165.33</v>
      </c>
      <c r="J370" s="43">
        <v>2.2559999999999998</v>
      </c>
      <c r="K370" s="24">
        <f t="shared" ref="K370:K374" si="297">$N$367</f>
        <v>36</v>
      </c>
      <c r="L370" s="44">
        <f t="shared" ref="L370:L374" si="298">J370*F370</f>
        <v>2.2559999999999998</v>
      </c>
      <c r="M370" s="27">
        <f t="shared" ref="M370:M374" si="299">L370*K370</f>
        <v>81.215999999999994</v>
      </c>
      <c r="N370" s="27">
        <f t="shared" ref="N370:N374" si="300">M370+I370</f>
        <v>2246.5459999999998</v>
      </c>
      <c r="O370" s="76"/>
      <c r="P370" s="59"/>
      <c r="Q370" s="59"/>
      <c r="T370" s="61"/>
    </row>
    <row r="371" spans="1:20" s="60" customFormat="1" x14ac:dyDescent="0.3">
      <c r="A371" s="45">
        <f>IF(F371&lt;&gt;"",1+MAX($A$5:A370),"")</f>
        <v>193</v>
      </c>
      <c r="B371" s="106"/>
      <c r="C371" s="38" t="s">
        <v>237</v>
      </c>
      <c r="D371" s="55">
        <v>1</v>
      </c>
      <c r="E371" s="56">
        <v>0</v>
      </c>
      <c r="F371" s="57">
        <f t="shared" si="291"/>
        <v>1</v>
      </c>
      <c r="G371" s="58" t="s">
        <v>3</v>
      </c>
      <c r="H371" s="35">
        <v>3194.5899999999997</v>
      </c>
      <c r="I371" s="35">
        <f t="shared" si="296"/>
        <v>3194.5899999999997</v>
      </c>
      <c r="J371" s="43">
        <v>2.82</v>
      </c>
      <c r="K371" s="24">
        <f t="shared" si="297"/>
        <v>36</v>
      </c>
      <c r="L371" s="44">
        <f t="shared" si="298"/>
        <v>2.82</v>
      </c>
      <c r="M371" s="27">
        <f t="shared" si="299"/>
        <v>101.52</v>
      </c>
      <c r="N371" s="27">
        <f t="shared" si="300"/>
        <v>3296.1099999999997</v>
      </c>
      <c r="O371" s="76"/>
      <c r="P371" s="59"/>
      <c r="Q371" s="59"/>
      <c r="T371" s="61"/>
    </row>
    <row r="372" spans="1:20" s="60" customFormat="1" x14ac:dyDescent="0.3">
      <c r="A372" s="45">
        <f>IF(F372&lt;&gt;"",1+MAX($A$5:A371),"")</f>
        <v>194</v>
      </c>
      <c r="B372" s="106"/>
      <c r="C372" s="38" t="s">
        <v>236</v>
      </c>
      <c r="D372" s="55">
        <v>1</v>
      </c>
      <c r="E372" s="56">
        <v>0</v>
      </c>
      <c r="F372" s="57">
        <f t="shared" si="291"/>
        <v>1</v>
      </c>
      <c r="G372" s="58" t="s">
        <v>3</v>
      </c>
      <c r="H372" s="35">
        <v>2705.2060000000001</v>
      </c>
      <c r="I372" s="35">
        <f t="shared" si="296"/>
        <v>2705.2060000000001</v>
      </c>
      <c r="J372" s="43">
        <v>0.94</v>
      </c>
      <c r="K372" s="24">
        <f t="shared" si="297"/>
        <v>36</v>
      </c>
      <c r="L372" s="44">
        <f t="shared" si="298"/>
        <v>0.94</v>
      </c>
      <c r="M372" s="27">
        <f t="shared" si="299"/>
        <v>33.839999999999996</v>
      </c>
      <c r="N372" s="27">
        <f t="shared" si="300"/>
        <v>2739.0460000000003</v>
      </c>
      <c r="O372" s="76"/>
      <c r="P372" s="59"/>
      <c r="Q372" s="59"/>
      <c r="T372" s="61"/>
    </row>
    <row r="373" spans="1:20" s="60" customFormat="1" x14ac:dyDescent="0.3">
      <c r="A373" s="45">
        <f>IF(F373&lt;&gt;"",1+MAX($A$5:A372),"")</f>
        <v>195</v>
      </c>
      <c r="B373" s="106"/>
      <c r="C373" s="38" t="s">
        <v>235</v>
      </c>
      <c r="D373" s="55">
        <v>1</v>
      </c>
      <c r="E373" s="56">
        <v>0</v>
      </c>
      <c r="F373" s="57">
        <f t="shared" si="291"/>
        <v>1</v>
      </c>
      <c r="G373" s="58" t="s">
        <v>3</v>
      </c>
      <c r="H373" s="35">
        <v>1305.0239999999999</v>
      </c>
      <c r="I373" s="35">
        <f t="shared" si="296"/>
        <v>1305.0239999999999</v>
      </c>
      <c r="J373" s="43">
        <v>0.94</v>
      </c>
      <c r="K373" s="24">
        <f t="shared" si="297"/>
        <v>36</v>
      </c>
      <c r="L373" s="44">
        <f t="shared" si="298"/>
        <v>0.94</v>
      </c>
      <c r="M373" s="27">
        <f t="shared" si="299"/>
        <v>33.839999999999996</v>
      </c>
      <c r="N373" s="27">
        <f t="shared" si="300"/>
        <v>1338.8639999999998</v>
      </c>
      <c r="O373" s="76"/>
      <c r="P373" s="59"/>
      <c r="Q373" s="59"/>
      <c r="T373" s="61"/>
    </row>
    <row r="374" spans="1:20" s="60" customFormat="1" x14ac:dyDescent="0.3">
      <c r="A374" s="45">
        <f>IF(F374&lt;&gt;"",1+MAX($A$5:A373),"")</f>
        <v>196</v>
      </c>
      <c r="B374" s="106"/>
      <c r="C374" s="38" t="s">
        <v>234</v>
      </c>
      <c r="D374" s="55">
        <v>1</v>
      </c>
      <c r="E374" s="56">
        <v>0</v>
      </c>
      <c r="F374" s="57">
        <f t="shared" si="291"/>
        <v>1</v>
      </c>
      <c r="G374" s="58" t="s">
        <v>3</v>
      </c>
      <c r="H374" s="35">
        <v>1249.6769999999999</v>
      </c>
      <c r="I374" s="35">
        <f t="shared" si="296"/>
        <v>1249.6769999999999</v>
      </c>
      <c r="J374" s="43">
        <v>0.94</v>
      </c>
      <c r="K374" s="24">
        <f t="shared" si="297"/>
        <v>36</v>
      </c>
      <c r="L374" s="44">
        <f t="shared" si="298"/>
        <v>0.94</v>
      </c>
      <c r="M374" s="27">
        <f t="shared" si="299"/>
        <v>33.839999999999996</v>
      </c>
      <c r="N374" s="27">
        <f t="shared" si="300"/>
        <v>1283.5169999999998</v>
      </c>
      <c r="O374" s="76"/>
      <c r="P374" s="59"/>
      <c r="Q374" s="59"/>
      <c r="T374" s="61"/>
    </row>
    <row r="375" spans="1:20" s="60" customFormat="1" x14ac:dyDescent="0.3">
      <c r="A375" s="45" t="str">
        <f>IF(F375&lt;&gt;"",1+MAX($A$5:A374),"")</f>
        <v/>
      </c>
      <c r="B375" s="106"/>
      <c r="C375" s="38"/>
      <c r="D375" s="55"/>
      <c r="E375" s="56"/>
      <c r="F375" s="57"/>
      <c r="G375" s="58"/>
      <c r="H375" s="35"/>
      <c r="I375" s="35"/>
      <c r="J375" s="43"/>
      <c r="K375" s="24"/>
      <c r="L375" s="44"/>
      <c r="M375" s="27"/>
      <c r="N375" s="27"/>
      <c r="O375" s="76"/>
      <c r="P375" s="59"/>
      <c r="Q375" s="59"/>
      <c r="T375" s="61"/>
    </row>
    <row r="376" spans="1:20" s="3" customFormat="1" x14ac:dyDescent="0.25">
      <c r="A376" s="31"/>
      <c r="B376" s="62"/>
      <c r="C376" s="17" t="s">
        <v>62</v>
      </c>
      <c r="D376" s="25"/>
      <c r="E376" s="8"/>
      <c r="F376" s="28"/>
      <c r="G376" s="8"/>
      <c r="H376" s="8"/>
      <c r="I376" s="8"/>
      <c r="J376" s="8"/>
      <c r="K376" s="8"/>
      <c r="L376" s="8"/>
      <c r="M376" s="22"/>
      <c r="N376" s="8"/>
      <c r="O376" s="9">
        <f>SUM(N378:N384)</f>
        <v>14247.228154279999</v>
      </c>
      <c r="P376" s="59"/>
      <c r="Q376" s="2"/>
      <c r="T376" s="16"/>
    </row>
    <row r="377" spans="1:20" s="3" customFormat="1" ht="15.6" customHeight="1" x14ac:dyDescent="0.25">
      <c r="A377" s="45" t="str">
        <f>IF(F377&lt;&gt;"",1+MAX($A$5:A376),"")</f>
        <v/>
      </c>
      <c r="B377" s="106" t="s">
        <v>141</v>
      </c>
      <c r="C377" s="18"/>
      <c r="D377" s="19"/>
      <c r="E377" s="20"/>
      <c r="F377" s="29"/>
      <c r="G377" s="21"/>
      <c r="H377" s="21"/>
      <c r="I377" s="21"/>
      <c r="J377" s="21"/>
      <c r="K377" s="21"/>
      <c r="L377" s="21"/>
      <c r="M377" s="40" t="s">
        <v>21</v>
      </c>
      <c r="N377" s="41">
        <v>36</v>
      </c>
      <c r="O377" s="76"/>
      <c r="P377" s="59"/>
      <c r="Q377" s="2"/>
      <c r="T377" s="16"/>
    </row>
    <row r="378" spans="1:20" s="60" customFormat="1" x14ac:dyDescent="0.3">
      <c r="A378" s="45" t="str">
        <f>IF(F378&lt;&gt;"",1+MAX($A$5:A377),"")</f>
        <v/>
      </c>
      <c r="B378" s="106"/>
      <c r="C378" s="86" t="s">
        <v>242</v>
      </c>
      <c r="D378" s="55"/>
      <c r="E378" s="56"/>
      <c r="F378" s="57"/>
      <c r="G378" s="58"/>
      <c r="H378" s="35"/>
      <c r="I378" s="35"/>
      <c r="J378" s="43"/>
      <c r="K378" s="24"/>
      <c r="L378" s="44"/>
      <c r="M378" s="27"/>
      <c r="N378" s="27"/>
      <c r="O378" s="76"/>
      <c r="P378" s="59"/>
      <c r="Q378" s="59"/>
      <c r="T378" s="61"/>
    </row>
    <row r="379" spans="1:20" s="60" customFormat="1" x14ac:dyDescent="0.3">
      <c r="A379" s="45">
        <f>IF(F379&lt;&gt;"",1+MAX($A$5:A378),"")</f>
        <v>197</v>
      </c>
      <c r="B379" s="106"/>
      <c r="C379" s="38" t="s">
        <v>71</v>
      </c>
      <c r="D379" s="55">
        <v>104</v>
      </c>
      <c r="E379" s="56">
        <v>0.1</v>
      </c>
      <c r="F379" s="57">
        <f>(1+E379)*D379</f>
        <v>114.4</v>
      </c>
      <c r="G379" s="58" t="s">
        <v>5</v>
      </c>
      <c r="H379" s="35">
        <v>50.783299999999997</v>
      </c>
      <c r="I379" s="35">
        <f t="shared" ref="I379" si="301">H379*F379</f>
        <v>5809.60952</v>
      </c>
      <c r="J379" s="43">
        <v>0.31540760000000001</v>
      </c>
      <c r="K379" s="24">
        <f>$N$377</f>
        <v>36</v>
      </c>
      <c r="L379" s="44">
        <f t="shared" ref="L379" si="302">J379*F379</f>
        <v>36.082629440000005</v>
      </c>
      <c r="M379" s="27">
        <f t="shared" ref="M379" si="303">L379*K379</f>
        <v>1298.9746598400002</v>
      </c>
      <c r="N379" s="27">
        <f t="shared" ref="N379" si="304">M379+I379</f>
        <v>7108.5841798399997</v>
      </c>
      <c r="O379" s="76"/>
      <c r="P379" s="59"/>
      <c r="Q379" s="59"/>
      <c r="T379" s="61"/>
    </row>
    <row r="380" spans="1:20" s="60" customFormat="1" x14ac:dyDescent="0.3">
      <c r="A380" s="45">
        <f>IF(F380&lt;&gt;"",1+MAX($A$5:A379),"")</f>
        <v>198</v>
      </c>
      <c r="B380" s="106"/>
      <c r="C380" s="38" t="s">
        <v>63</v>
      </c>
      <c r="D380" s="55">
        <v>46.17</v>
      </c>
      <c r="E380" s="56">
        <v>0.1</v>
      </c>
      <c r="F380" s="57">
        <f>(1+E380)*D380</f>
        <v>50.787000000000006</v>
      </c>
      <c r="G380" s="58" t="s">
        <v>4</v>
      </c>
      <c r="H380" s="35">
        <v>14.331959999999999</v>
      </c>
      <c r="I380" s="35">
        <f t="shared" ref="I380" si="305">H380*F380</f>
        <v>727.87725252000007</v>
      </c>
      <c r="J380" s="43">
        <v>8.3659999999999984E-2</v>
      </c>
      <c r="K380" s="24">
        <f>$N$377</f>
        <v>36</v>
      </c>
      <c r="L380" s="44">
        <f t="shared" ref="L380" si="306">J380*F380</f>
        <v>4.2488404199999996</v>
      </c>
      <c r="M380" s="27">
        <f t="shared" ref="M380" si="307">L380*K380</f>
        <v>152.95825511999999</v>
      </c>
      <c r="N380" s="27">
        <f t="shared" ref="N380" si="308">M380+I380</f>
        <v>880.83550764000006</v>
      </c>
      <c r="O380" s="76"/>
      <c r="P380" s="59"/>
      <c r="Q380" s="59"/>
      <c r="T380" s="61"/>
    </row>
    <row r="381" spans="1:20" s="60" customFormat="1" x14ac:dyDescent="0.3">
      <c r="A381" s="45" t="str">
        <f>IF(F381&lt;&gt;"",1+MAX($A$5:A380),"")</f>
        <v/>
      </c>
      <c r="B381" s="106"/>
      <c r="C381" s="38"/>
      <c r="D381" s="55"/>
      <c r="E381" s="56"/>
      <c r="F381" s="57"/>
      <c r="G381" s="58"/>
      <c r="H381" s="35"/>
      <c r="I381" s="35"/>
      <c r="J381" s="43"/>
      <c r="K381" s="24"/>
      <c r="L381" s="44"/>
      <c r="M381" s="27"/>
      <c r="N381" s="27"/>
      <c r="O381" s="76"/>
      <c r="P381" s="59"/>
      <c r="Q381" s="59"/>
      <c r="T381" s="61"/>
    </row>
    <row r="382" spans="1:20" s="60" customFormat="1" x14ac:dyDescent="0.3">
      <c r="A382" s="45" t="str">
        <f>IF(F382&lt;&gt;"",1+MAX($A$5:A381),"")</f>
        <v/>
      </c>
      <c r="B382" s="106"/>
      <c r="C382" s="86" t="s">
        <v>241</v>
      </c>
      <c r="D382" s="55"/>
      <c r="E382" s="56"/>
      <c r="F382" s="57"/>
      <c r="G382" s="58"/>
      <c r="H382" s="35"/>
      <c r="I382" s="35"/>
      <c r="J382" s="43"/>
      <c r="K382" s="24"/>
      <c r="L382" s="44"/>
      <c r="M382" s="27"/>
      <c r="N382" s="27"/>
      <c r="O382" s="76"/>
      <c r="P382" s="59"/>
      <c r="Q382" s="59"/>
      <c r="T382" s="61"/>
    </row>
    <row r="383" spans="1:20" s="60" customFormat="1" x14ac:dyDescent="0.3">
      <c r="A383" s="45">
        <f>IF(F383&lt;&gt;"",1+MAX($A$5:A382),"")</f>
        <v>199</v>
      </c>
      <c r="B383" s="106"/>
      <c r="C383" s="38" t="s">
        <v>240</v>
      </c>
      <c r="D383" s="55">
        <v>33.26</v>
      </c>
      <c r="E383" s="56">
        <v>0.1</v>
      </c>
      <c r="F383" s="57">
        <f>(1+E383)*D383</f>
        <v>36.585999999999999</v>
      </c>
      <c r="G383" s="58" t="s">
        <v>4</v>
      </c>
      <c r="H383" s="35">
        <v>160.215</v>
      </c>
      <c r="I383" s="35">
        <f t="shared" ref="I383" si="309">H383*F383</f>
        <v>5861.6259899999995</v>
      </c>
      <c r="J383" s="43">
        <v>0.30080000000000001</v>
      </c>
      <c r="K383" s="24">
        <f>$N$377</f>
        <v>36</v>
      </c>
      <c r="L383" s="44">
        <f t="shared" ref="L383" si="310">J383*F383</f>
        <v>11.0050688</v>
      </c>
      <c r="M383" s="27">
        <f t="shared" ref="M383" si="311">L383*K383</f>
        <v>396.18247680000002</v>
      </c>
      <c r="N383" s="27">
        <f t="shared" ref="N383" si="312">M383+I383</f>
        <v>6257.8084667999992</v>
      </c>
      <c r="O383" s="76"/>
      <c r="P383" s="59"/>
      <c r="Q383" s="59"/>
      <c r="T383" s="61"/>
    </row>
    <row r="384" spans="1:20" s="60" customFormat="1" x14ac:dyDescent="0.3">
      <c r="A384" s="45" t="str">
        <f>IF(F384&lt;&gt;"",1+MAX($A$5:A383),"")</f>
        <v/>
      </c>
      <c r="B384" s="106"/>
      <c r="C384" s="38"/>
      <c r="D384" s="55"/>
      <c r="E384" s="56"/>
      <c r="F384" s="57"/>
      <c r="G384" s="58"/>
      <c r="H384" s="35"/>
      <c r="I384" s="35"/>
      <c r="J384" s="43"/>
      <c r="K384" s="24"/>
      <c r="L384" s="44"/>
      <c r="M384" s="27"/>
      <c r="N384" s="27"/>
      <c r="O384" s="76"/>
      <c r="P384" s="59"/>
      <c r="Q384" s="59"/>
      <c r="T384" s="61"/>
    </row>
    <row r="385" spans="1:20" s="60" customFormat="1" x14ac:dyDescent="0.3">
      <c r="A385" s="45" t="str">
        <f>IF(F385&lt;&gt;"",1+MAX($A$5:A384),"")</f>
        <v/>
      </c>
      <c r="B385" s="91"/>
      <c r="C385" s="38"/>
      <c r="D385" s="55"/>
      <c r="E385" s="56"/>
      <c r="F385" s="57"/>
      <c r="G385" s="58"/>
      <c r="H385" s="35"/>
      <c r="I385" s="35"/>
      <c r="J385" s="43"/>
      <c r="K385" s="24"/>
      <c r="L385" s="44"/>
      <c r="M385" s="27"/>
      <c r="N385" s="27"/>
      <c r="O385" s="76"/>
      <c r="P385" s="59"/>
      <c r="Q385" s="59"/>
      <c r="T385" s="61"/>
    </row>
    <row r="386" spans="1:20" s="3" customFormat="1" x14ac:dyDescent="0.25">
      <c r="A386" s="31"/>
      <c r="B386" s="62"/>
      <c r="C386" s="17" t="s">
        <v>28</v>
      </c>
      <c r="D386" s="25"/>
      <c r="E386" s="8"/>
      <c r="F386" s="28"/>
      <c r="G386" s="8"/>
      <c r="H386" s="8"/>
      <c r="I386" s="8"/>
      <c r="J386" s="8"/>
      <c r="K386" s="8"/>
      <c r="L386" s="8"/>
      <c r="M386" s="22"/>
      <c r="N386" s="8"/>
      <c r="O386" s="9">
        <f>SUM(N389:N439)</f>
        <v>31350.039560000005</v>
      </c>
      <c r="P386" s="59"/>
      <c r="Q386" s="2"/>
      <c r="T386" s="16"/>
    </row>
    <row r="387" spans="1:20" s="3" customFormat="1" x14ac:dyDescent="0.25">
      <c r="A387" s="45" t="str">
        <f>IF(F387&lt;&gt;"",1+MAX($A$5:A386),"")</f>
        <v/>
      </c>
      <c r="B387" s="84"/>
      <c r="C387" s="18"/>
      <c r="D387" s="19"/>
      <c r="E387" s="20"/>
      <c r="F387" s="29"/>
      <c r="G387" s="21"/>
      <c r="H387" s="21"/>
      <c r="I387" s="21"/>
      <c r="J387" s="21"/>
      <c r="K387" s="21"/>
      <c r="L387" s="21"/>
      <c r="M387" s="40" t="s">
        <v>21</v>
      </c>
      <c r="N387" s="41">
        <v>42</v>
      </c>
      <c r="O387" s="76"/>
      <c r="P387" s="59"/>
      <c r="Q387" s="2"/>
      <c r="T387" s="16"/>
    </row>
    <row r="388" spans="1:20" s="60" customFormat="1" x14ac:dyDescent="0.3">
      <c r="A388" s="45" t="str">
        <f>IF(F388&lt;&gt;"",1+MAX($A$5:A387),"")</f>
        <v/>
      </c>
      <c r="B388" s="91"/>
      <c r="C388" s="86" t="s">
        <v>119</v>
      </c>
      <c r="D388" s="55"/>
      <c r="E388" s="56"/>
      <c r="F388" s="57"/>
      <c r="G388" s="58"/>
      <c r="H388" s="35"/>
      <c r="I388" s="35"/>
      <c r="J388" s="43"/>
      <c r="K388" s="24"/>
      <c r="L388" s="44"/>
      <c r="M388" s="27"/>
      <c r="N388" s="27"/>
      <c r="O388" s="76"/>
      <c r="P388" s="59"/>
      <c r="Q388" s="59"/>
      <c r="T388" s="61"/>
    </row>
    <row r="389" spans="1:20" s="60" customFormat="1" x14ac:dyDescent="0.3">
      <c r="A389" s="45" t="str">
        <f>IF(F389&lt;&gt;"",1+MAX($A$5:A388),"")</f>
        <v/>
      </c>
      <c r="B389" s="91"/>
      <c r="C389" s="94" t="s">
        <v>256</v>
      </c>
      <c r="D389" s="55"/>
      <c r="E389" s="56"/>
      <c r="F389" s="57"/>
      <c r="G389" s="58"/>
      <c r="H389" s="35"/>
      <c r="I389" s="35"/>
      <c r="J389" s="43"/>
      <c r="K389" s="24"/>
      <c r="L389" s="44"/>
      <c r="M389" s="27"/>
      <c r="N389" s="27"/>
      <c r="O389" s="76"/>
      <c r="P389" s="59"/>
      <c r="Q389" s="59"/>
      <c r="T389" s="61"/>
    </row>
    <row r="390" spans="1:20" s="60" customFormat="1" x14ac:dyDescent="0.3">
      <c r="A390" s="45">
        <f>IF(F390&lt;&gt;"",1+MAX($A$5:A389),"")</f>
        <v>200</v>
      </c>
      <c r="B390" s="106" t="s">
        <v>269</v>
      </c>
      <c r="C390" s="38" t="s">
        <v>268</v>
      </c>
      <c r="D390" s="55">
        <v>520</v>
      </c>
      <c r="E390" s="56">
        <v>0</v>
      </c>
      <c r="F390" s="57">
        <f>(1+E390)*D390</f>
        <v>520</v>
      </c>
      <c r="G390" s="58" t="s">
        <v>99</v>
      </c>
      <c r="H390" s="35">
        <v>2.67</v>
      </c>
      <c r="I390" s="35">
        <f t="shared" ref="I390" si="313">H390*F390</f>
        <v>1388.3999999999999</v>
      </c>
      <c r="J390" s="43">
        <v>7.5199999999999998E-3</v>
      </c>
      <c r="K390" s="24">
        <f>$N$387</f>
        <v>42</v>
      </c>
      <c r="L390" s="44">
        <f t="shared" ref="L390" si="314">J390*F390</f>
        <v>3.9104000000000001</v>
      </c>
      <c r="M390" s="27">
        <f t="shared" ref="M390" si="315">L390*K390</f>
        <v>164.23680000000002</v>
      </c>
      <c r="N390" s="27">
        <f t="shared" ref="N390" si="316">M390+I390</f>
        <v>1552.6367999999998</v>
      </c>
      <c r="O390" s="76"/>
      <c r="P390" s="59"/>
      <c r="Q390" s="59"/>
      <c r="T390" s="61"/>
    </row>
    <row r="391" spans="1:20" s="60" customFormat="1" x14ac:dyDescent="0.3">
      <c r="A391" s="45">
        <f>IF(F391&lt;&gt;"",1+MAX($A$5:A390),"")</f>
        <v>201</v>
      </c>
      <c r="B391" s="106"/>
      <c r="C391" s="38" t="s">
        <v>267</v>
      </c>
      <c r="D391" s="55">
        <v>520</v>
      </c>
      <c r="E391" s="56">
        <v>0</v>
      </c>
      <c r="F391" s="57">
        <f>(1+E391)*D391</f>
        <v>520</v>
      </c>
      <c r="G391" s="58" t="s">
        <v>99</v>
      </c>
      <c r="H391" s="35">
        <v>2.67</v>
      </c>
      <c r="I391" s="35">
        <f t="shared" ref="I391:I392" si="317">H391*F391</f>
        <v>1388.3999999999999</v>
      </c>
      <c r="J391" s="43">
        <v>7.5199999999999998E-3</v>
      </c>
      <c r="K391" s="24">
        <f t="shared" ref="K391:K392" si="318">$N$387</f>
        <v>42</v>
      </c>
      <c r="L391" s="44">
        <f t="shared" ref="L391:L392" si="319">J391*F391</f>
        <v>3.9104000000000001</v>
      </c>
      <c r="M391" s="27">
        <f t="shared" ref="M391:M392" si="320">L391*K391</f>
        <v>164.23680000000002</v>
      </c>
      <c r="N391" s="27">
        <f t="shared" ref="N391:N392" si="321">M391+I391</f>
        <v>1552.6367999999998</v>
      </c>
      <c r="O391" s="76"/>
      <c r="P391" s="59"/>
      <c r="Q391" s="59"/>
      <c r="T391" s="61"/>
    </row>
    <row r="392" spans="1:20" s="60" customFormat="1" x14ac:dyDescent="0.3">
      <c r="A392" s="45">
        <f>IF(F392&lt;&gt;"",1+MAX($A$5:A391),"")</f>
        <v>202</v>
      </c>
      <c r="B392" s="106"/>
      <c r="C392" s="38" t="s">
        <v>266</v>
      </c>
      <c r="D392" s="55">
        <v>520</v>
      </c>
      <c r="E392" s="56">
        <v>0</v>
      </c>
      <c r="F392" s="57">
        <f>(1+E392)*D392</f>
        <v>520</v>
      </c>
      <c r="G392" s="58" t="s">
        <v>99</v>
      </c>
      <c r="H392" s="35">
        <v>2.67</v>
      </c>
      <c r="I392" s="35">
        <f t="shared" si="317"/>
        <v>1388.3999999999999</v>
      </c>
      <c r="J392" s="43">
        <v>7.5199999999999998E-3</v>
      </c>
      <c r="K392" s="24">
        <f t="shared" si="318"/>
        <v>42</v>
      </c>
      <c r="L392" s="44">
        <f t="shared" si="319"/>
        <v>3.9104000000000001</v>
      </c>
      <c r="M392" s="27">
        <f t="shared" si="320"/>
        <v>164.23680000000002</v>
      </c>
      <c r="N392" s="27">
        <f t="shared" si="321"/>
        <v>1552.6367999999998</v>
      </c>
      <c r="O392" s="76"/>
      <c r="P392" s="59"/>
      <c r="Q392" s="59"/>
      <c r="T392" s="61"/>
    </row>
    <row r="393" spans="1:20" s="60" customFormat="1" x14ac:dyDescent="0.3">
      <c r="A393" s="45" t="str">
        <f>IF(F393&lt;&gt;"",1+MAX($A$5:A392),"")</f>
        <v/>
      </c>
      <c r="B393" s="106"/>
      <c r="C393" s="38"/>
      <c r="D393" s="55"/>
      <c r="E393" s="56"/>
      <c r="F393" s="57"/>
      <c r="G393" s="58"/>
      <c r="H393" s="35"/>
      <c r="I393" s="35"/>
      <c r="J393" s="43"/>
      <c r="K393" s="24"/>
      <c r="L393" s="44"/>
      <c r="M393" s="27"/>
      <c r="N393" s="27"/>
      <c r="O393" s="76"/>
      <c r="P393" s="59"/>
      <c r="Q393" s="59"/>
      <c r="T393" s="61"/>
    </row>
    <row r="394" spans="1:20" s="60" customFormat="1" x14ac:dyDescent="0.3">
      <c r="A394" s="45" t="str">
        <f>IF(F394&lt;&gt;"",1+MAX($A$5:A393),"")</f>
        <v/>
      </c>
      <c r="B394" s="106"/>
      <c r="C394" s="94" t="s">
        <v>117</v>
      </c>
      <c r="D394" s="55"/>
      <c r="E394" s="56"/>
      <c r="F394" s="57"/>
      <c r="G394" s="58"/>
      <c r="H394" s="35"/>
      <c r="I394" s="35"/>
      <c r="J394" s="43"/>
      <c r="K394" s="24"/>
      <c r="L394" s="44"/>
      <c r="M394" s="27"/>
      <c r="N394" s="27"/>
      <c r="O394" s="76"/>
      <c r="P394" s="59"/>
      <c r="Q394" s="59"/>
      <c r="T394" s="61"/>
    </row>
    <row r="395" spans="1:20" s="60" customFormat="1" x14ac:dyDescent="0.3">
      <c r="A395" s="45">
        <f>IF(F395&lt;&gt;"",1+MAX($A$5:A394),"")</f>
        <v>203</v>
      </c>
      <c r="B395" s="106"/>
      <c r="C395" s="38" t="s">
        <v>265</v>
      </c>
      <c r="D395" s="55">
        <v>520</v>
      </c>
      <c r="E395" s="56">
        <v>0</v>
      </c>
      <c r="F395" s="57">
        <f>(1+E395)*D395</f>
        <v>520</v>
      </c>
      <c r="G395" s="58" t="s">
        <v>99</v>
      </c>
      <c r="H395" s="35">
        <v>2.2999999999999998</v>
      </c>
      <c r="I395" s="35">
        <f t="shared" ref="I395:I396" si="322">H395*F395</f>
        <v>1196</v>
      </c>
      <c r="J395" s="43">
        <v>7.1439999999999993E-3</v>
      </c>
      <c r="K395" s="24">
        <f t="shared" ref="K395:K396" si="323">$N$387</f>
        <v>42</v>
      </c>
      <c r="L395" s="44">
        <f t="shared" ref="L395:L396" si="324">J395*F395</f>
        <v>3.7148799999999995</v>
      </c>
      <c r="M395" s="27">
        <f t="shared" ref="M395:M396" si="325">L395*K395</f>
        <v>156.02495999999999</v>
      </c>
      <c r="N395" s="27">
        <f t="shared" ref="N395:N396" si="326">M395+I395</f>
        <v>1352.02496</v>
      </c>
      <c r="O395" s="76"/>
      <c r="P395" s="59"/>
      <c r="Q395" s="59"/>
      <c r="T395" s="61"/>
    </row>
    <row r="396" spans="1:20" s="60" customFormat="1" x14ac:dyDescent="0.3">
      <c r="A396" s="45">
        <f>IF(F396&lt;&gt;"",1+MAX($A$5:A395),"")</f>
        <v>204</v>
      </c>
      <c r="B396" s="106"/>
      <c r="C396" s="38" t="s">
        <v>264</v>
      </c>
      <c r="D396" s="55">
        <v>520</v>
      </c>
      <c r="E396" s="56">
        <v>0</v>
      </c>
      <c r="F396" s="57">
        <f>(1+E396)*D396</f>
        <v>520</v>
      </c>
      <c r="G396" s="58" t="s">
        <v>99</v>
      </c>
      <c r="H396" s="35">
        <v>2.2999999999999998</v>
      </c>
      <c r="I396" s="35">
        <f t="shared" si="322"/>
        <v>1196</v>
      </c>
      <c r="J396" s="43">
        <v>7.1439999999999993E-3</v>
      </c>
      <c r="K396" s="24">
        <f t="shared" si="323"/>
        <v>42</v>
      </c>
      <c r="L396" s="44">
        <f t="shared" si="324"/>
        <v>3.7148799999999995</v>
      </c>
      <c r="M396" s="27">
        <f t="shared" si="325"/>
        <v>156.02495999999999</v>
      </c>
      <c r="N396" s="27">
        <f t="shared" si="326"/>
        <v>1352.02496</v>
      </c>
      <c r="O396" s="76"/>
      <c r="P396" s="59"/>
      <c r="Q396" s="59"/>
      <c r="T396" s="61"/>
    </row>
    <row r="397" spans="1:20" s="60" customFormat="1" x14ac:dyDescent="0.3">
      <c r="A397" s="45" t="str">
        <f>IF(F397&lt;&gt;"",1+MAX($A$5:A396),"")</f>
        <v/>
      </c>
      <c r="B397" s="106"/>
      <c r="C397" s="38"/>
      <c r="D397" s="55"/>
      <c r="E397" s="56"/>
      <c r="F397" s="57"/>
      <c r="G397" s="58"/>
      <c r="H397" s="35"/>
      <c r="I397" s="35"/>
      <c r="J397" s="43"/>
      <c r="K397" s="24"/>
      <c r="L397" s="44"/>
      <c r="M397" s="27"/>
      <c r="N397" s="27"/>
      <c r="O397" s="76"/>
      <c r="P397" s="59"/>
      <c r="Q397" s="59"/>
      <c r="T397" s="61"/>
    </row>
    <row r="398" spans="1:20" s="60" customFormat="1" x14ac:dyDescent="0.3">
      <c r="A398" s="45" t="str">
        <f>IF(F398&lt;&gt;"",1+MAX($A$5:A397),"")</f>
        <v/>
      </c>
      <c r="B398" s="106"/>
      <c r="C398" s="94" t="s">
        <v>253</v>
      </c>
      <c r="D398" s="55"/>
      <c r="E398" s="56"/>
      <c r="F398" s="57"/>
      <c r="G398" s="58"/>
      <c r="H398" s="35"/>
      <c r="I398" s="35"/>
      <c r="J398" s="43"/>
      <c r="K398" s="24"/>
      <c r="L398" s="44"/>
      <c r="M398" s="27"/>
      <c r="N398" s="27"/>
      <c r="O398" s="76"/>
      <c r="P398" s="59"/>
      <c r="Q398" s="59"/>
      <c r="T398" s="61"/>
    </row>
    <row r="399" spans="1:20" s="60" customFormat="1" x14ac:dyDescent="0.3">
      <c r="A399" s="45">
        <f>IF(F399&lt;&gt;"",1+MAX($A$5:A398),"")</f>
        <v>205</v>
      </c>
      <c r="B399" s="106"/>
      <c r="C399" s="38" t="s">
        <v>263</v>
      </c>
      <c r="D399" s="55">
        <v>520</v>
      </c>
      <c r="E399" s="56">
        <v>0</v>
      </c>
      <c r="F399" s="57">
        <f>(1+E399)*D399</f>
        <v>520</v>
      </c>
      <c r="G399" s="58" t="s">
        <v>99</v>
      </c>
      <c r="H399" s="35">
        <v>2.87</v>
      </c>
      <c r="I399" s="35">
        <f t="shared" ref="I399" si="327">H399*F399</f>
        <v>1492.4</v>
      </c>
      <c r="J399" s="43">
        <v>7.8959999999999985E-3</v>
      </c>
      <c r="K399" s="24">
        <f t="shared" ref="K399" si="328">$N$387</f>
        <v>42</v>
      </c>
      <c r="L399" s="44">
        <f t="shared" ref="L399" si="329">J399*F399</f>
        <v>4.1059199999999993</v>
      </c>
      <c r="M399" s="27">
        <f t="shared" ref="M399" si="330">L399*K399</f>
        <v>172.44863999999998</v>
      </c>
      <c r="N399" s="27">
        <f t="shared" ref="N399" si="331">M399+I399</f>
        <v>1664.8486400000002</v>
      </c>
      <c r="O399" s="76"/>
      <c r="P399" s="59"/>
      <c r="Q399" s="59"/>
      <c r="T399" s="61"/>
    </row>
    <row r="400" spans="1:20" s="60" customFormat="1" x14ac:dyDescent="0.3">
      <c r="A400" s="45" t="str">
        <f>IF(F400&lt;&gt;"",1+MAX($A$5:A399),"")</f>
        <v/>
      </c>
      <c r="B400" s="106"/>
      <c r="C400" s="38"/>
      <c r="D400" s="55"/>
      <c r="E400" s="56"/>
      <c r="F400" s="57"/>
      <c r="G400" s="58"/>
      <c r="H400" s="35"/>
      <c r="I400" s="35"/>
      <c r="J400" s="43"/>
      <c r="K400" s="24"/>
      <c r="L400" s="44"/>
      <c r="M400" s="27"/>
      <c r="N400" s="27"/>
      <c r="O400" s="76"/>
      <c r="P400" s="59"/>
      <c r="Q400" s="59"/>
      <c r="T400" s="61"/>
    </row>
    <row r="401" spans="1:20" s="60" customFormat="1" x14ac:dyDescent="0.3">
      <c r="A401" s="45" t="str">
        <f>IF(F401&lt;&gt;"",1+MAX($A$5:A400),"")</f>
        <v/>
      </c>
      <c r="B401" s="106"/>
      <c r="C401" s="86" t="s">
        <v>118</v>
      </c>
      <c r="D401" s="55"/>
      <c r="E401" s="56"/>
      <c r="F401" s="57"/>
      <c r="G401" s="58"/>
      <c r="H401" s="35"/>
      <c r="I401" s="35"/>
      <c r="J401" s="43"/>
      <c r="K401" s="24"/>
      <c r="L401" s="44"/>
      <c r="M401" s="27"/>
      <c r="N401" s="27"/>
      <c r="O401" s="76"/>
      <c r="P401" s="59"/>
      <c r="Q401" s="59"/>
      <c r="T401" s="61"/>
    </row>
    <row r="402" spans="1:20" s="60" customFormat="1" x14ac:dyDescent="0.3">
      <c r="A402" s="45" t="str">
        <f>IF(F402&lt;&gt;"",1+MAX($A$5:A401),"")</f>
        <v/>
      </c>
      <c r="B402" s="106"/>
      <c r="C402" s="94" t="s">
        <v>256</v>
      </c>
      <c r="D402" s="55"/>
      <c r="E402" s="56"/>
      <c r="F402" s="57"/>
      <c r="G402" s="58"/>
      <c r="H402" s="35"/>
      <c r="I402" s="35"/>
      <c r="J402" s="43"/>
      <c r="K402" s="24"/>
      <c r="L402" s="44"/>
      <c r="M402" s="27"/>
      <c r="N402" s="27"/>
      <c r="O402" s="76"/>
      <c r="P402" s="59"/>
      <c r="Q402" s="59"/>
      <c r="T402" s="61"/>
    </row>
    <row r="403" spans="1:20" s="60" customFormat="1" x14ac:dyDescent="0.3">
      <c r="A403" s="45">
        <f>IF(F403&lt;&gt;"",1+MAX($A$5:A402),"")</f>
        <v>206</v>
      </c>
      <c r="B403" s="106"/>
      <c r="C403" s="38" t="s">
        <v>259</v>
      </c>
      <c r="D403" s="55">
        <v>520</v>
      </c>
      <c r="E403" s="56">
        <v>0</v>
      </c>
      <c r="F403" s="57">
        <f>(1+E403)*D403</f>
        <v>520</v>
      </c>
      <c r="G403" s="58" t="s">
        <v>99</v>
      </c>
      <c r="H403" s="35">
        <v>0.54</v>
      </c>
      <c r="I403" s="35">
        <f t="shared" ref="I403:I404" si="332">H403*F403</f>
        <v>280.8</v>
      </c>
      <c r="J403" s="43">
        <v>1.0339999999999998E-2</v>
      </c>
      <c r="K403" s="24">
        <f t="shared" ref="K403:K404" si="333">$N$387</f>
        <v>42</v>
      </c>
      <c r="L403" s="44">
        <f t="shared" ref="L403:L404" si="334">J403*F403</f>
        <v>5.3767999999999994</v>
      </c>
      <c r="M403" s="27">
        <f t="shared" ref="M403:M404" si="335">L403*K403</f>
        <v>225.82559999999998</v>
      </c>
      <c r="N403" s="27">
        <f t="shared" ref="N403:N404" si="336">M403+I403</f>
        <v>506.62559999999996</v>
      </c>
      <c r="O403" s="76"/>
      <c r="P403" s="59"/>
      <c r="Q403" s="59"/>
      <c r="T403" s="61"/>
    </row>
    <row r="404" spans="1:20" s="60" customFormat="1" x14ac:dyDescent="0.3">
      <c r="A404" s="45">
        <f>IF(F404&lt;&gt;"",1+MAX($A$5:A403),"")</f>
        <v>207</v>
      </c>
      <c r="B404" s="106"/>
      <c r="C404" s="38" t="s">
        <v>258</v>
      </c>
      <c r="D404" s="55">
        <v>520</v>
      </c>
      <c r="E404" s="56">
        <v>0</v>
      </c>
      <c r="F404" s="57">
        <f>(1+E404)*D404</f>
        <v>520</v>
      </c>
      <c r="G404" s="58" t="s">
        <v>99</v>
      </c>
      <c r="H404" s="35">
        <v>0.54</v>
      </c>
      <c r="I404" s="35">
        <f t="shared" si="332"/>
        <v>280.8</v>
      </c>
      <c r="J404" s="43">
        <v>1.0339999999999998E-2</v>
      </c>
      <c r="K404" s="24">
        <f t="shared" si="333"/>
        <v>42</v>
      </c>
      <c r="L404" s="44">
        <f t="shared" si="334"/>
        <v>5.3767999999999994</v>
      </c>
      <c r="M404" s="27">
        <f t="shared" si="335"/>
        <v>225.82559999999998</v>
      </c>
      <c r="N404" s="27">
        <f t="shared" si="336"/>
        <v>506.62559999999996</v>
      </c>
      <c r="O404" s="76"/>
      <c r="P404" s="59"/>
      <c r="Q404" s="59"/>
      <c r="T404" s="61"/>
    </row>
    <row r="405" spans="1:20" s="60" customFormat="1" x14ac:dyDescent="0.3">
      <c r="A405" s="45" t="str">
        <f>IF(F405&lt;&gt;"",1+MAX($A$5:A404),"")</f>
        <v/>
      </c>
      <c r="B405" s="106"/>
      <c r="C405" s="38"/>
      <c r="D405" s="55"/>
      <c r="E405" s="56"/>
      <c r="F405" s="57"/>
      <c r="G405" s="58"/>
      <c r="H405" s="35"/>
      <c r="I405" s="35"/>
      <c r="J405" s="43"/>
      <c r="K405" s="24"/>
      <c r="L405" s="44"/>
      <c r="M405" s="27"/>
      <c r="N405" s="27"/>
      <c r="O405" s="76"/>
      <c r="P405" s="59"/>
      <c r="Q405" s="59"/>
      <c r="T405" s="61"/>
    </row>
    <row r="406" spans="1:20" s="60" customFormat="1" x14ac:dyDescent="0.3">
      <c r="A406" s="45" t="str">
        <f>IF(F406&lt;&gt;"",1+MAX($A$5:A405),"")</f>
        <v/>
      </c>
      <c r="B406" s="106"/>
      <c r="C406" s="94" t="s">
        <v>117</v>
      </c>
      <c r="D406" s="55"/>
      <c r="E406" s="56"/>
      <c r="F406" s="57"/>
      <c r="G406" s="58"/>
      <c r="H406" s="35"/>
      <c r="I406" s="35"/>
      <c r="J406" s="43"/>
      <c r="K406" s="24"/>
      <c r="L406" s="44"/>
      <c r="M406" s="27"/>
      <c r="N406" s="27"/>
      <c r="O406" s="76"/>
      <c r="P406" s="59"/>
      <c r="Q406" s="59"/>
      <c r="T406" s="61"/>
    </row>
    <row r="407" spans="1:20" s="60" customFormat="1" x14ac:dyDescent="0.3">
      <c r="A407" s="45">
        <f>IF(F407&lt;&gt;"",1+MAX($A$5:A406),"")</f>
        <v>208</v>
      </c>
      <c r="B407" s="106"/>
      <c r="C407" s="38" t="s">
        <v>259</v>
      </c>
      <c r="D407" s="55">
        <v>520</v>
      </c>
      <c r="E407" s="56">
        <v>0</v>
      </c>
      <c r="F407" s="57">
        <f>(1+E407)*D407</f>
        <v>520</v>
      </c>
      <c r="G407" s="58" t="s">
        <v>99</v>
      </c>
      <c r="H407" s="35">
        <v>0.43</v>
      </c>
      <c r="I407" s="35">
        <f t="shared" ref="I407:I411" si="337">H407*F407</f>
        <v>223.6</v>
      </c>
      <c r="J407" s="43">
        <v>7.5199999999999998E-3</v>
      </c>
      <c r="K407" s="24">
        <f t="shared" ref="K407:K411" si="338">$N$387</f>
        <v>42</v>
      </c>
      <c r="L407" s="44">
        <f t="shared" ref="L407:L411" si="339">J407*F407</f>
        <v>3.9104000000000001</v>
      </c>
      <c r="M407" s="27">
        <f t="shared" ref="M407:M411" si="340">L407*K407</f>
        <v>164.23680000000002</v>
      </c>
      <c r="N407" s="27">
        <f t="shared" ref="N407:N411" si="341">M407+I407</f>
        <v>387.83680000000004</v>
      </c>
      <c r="O407" s="76"/>
      <c r="P407" s="59"/>
      <c r="Q407" s="59"/>
      <c r="T407" s="61"/>
    </row>
    <row r="408" spans="1:20" s="60" customFormat="1" x14ac:dyDescent="0.3">
      <c r="A408" s="45">
        <f>IF(F408&lt;&gt;"",1+MAX($A$5:A407),"")</f>
        <v>209</v>
      </c>
      <c r="B408" s="106"/>
      <c r="C408" s="38" t="s">
        <v>262</v>
      </c>
      <c r="D408" s="55">
        <v>520</v>
      </c>
      <c r="E408" s="56">
        <v>0</v>
      </c>
      <c r="F408" s="57">
        <f>(1+E408)*D408</f>
        <v>520</v>
      </c>
      <c r="G408" s="58" t="s">
        <v>99</v>
      </c>
      <c r="H408" s="35">
        <v>0.43</v>
      </c>
      <c r="I408" s="35">
        <f t="shared" si="337"/>
        <v>223.6</v>
      </c>
      <c r="J408" s="43">
        <v>7.5199999999999998E-3</v>
      </c>
      <c r="K408" s="24">
        <f t="shared" si="338"/>
        <v>42</v>
      </c>
      <c r="L408" s="44">
        <f t="shared" si="339"/>
        <v>3.9104000000000001</v>
      </c>
      <c r="M408" s="27">
        <f t="shared" si="340"/>
        <v>164.23680000000002</v>
      </c>
      <c r="N408" s="27">
        <f t="shared" si="341"/>
        <v>387.83680000000004</v>
      </c>
      <c r="O408" s="76"/>
      <c r="P408" s="59"/>
      <c r="Q408" s="59"/>
      <c r="T408" s="61"/>
    </row>
    <row r="409" spans="1:20" s="60" customFormat="1" x14ac:dyDescent="0.3">
      <c r="A409" s="45">
        <f>IF(F409&lt;&gt;"",1+MAX($A$5:A408),"")</f>
        <v>210</v>
      </c>
      <c r="B409" s="106"/>
      <c r="C409" s="38" t="s">
        <v>258</v>
      </c>
      <c r="D409" s="55">
        <v>520</v>
      </c>
      <c r="E409" s="56">
        <v>0</v>
      </c>
      <c r="F409" s="57">
        <f>(1+E409)*D409</f>
        <v>520</v>
      </c>
      <c r="G409" s="58" t="s">
        <v>99</v>
      </c>
      <c r="H409" s="35">
        <v>0.43</v>
      </c>
      <c r="I409" s="35">
        <f t="shared" si="337"/>
        <v>223.6</v>
      </c>
      <c r="J409" s="43">
        <v>7.5199999999999998E-3</v>
      </c>
      <c r="K409" s="24">
        <f t="shared" si="338"/>
        <v>42</v>
      </c>
      <c r="L409" s="44">
        <f t="shared" si="339"/>
        <v>3.9104000000000001</v>
      </c>
      <c r="M409" s="27">
        <f t="shared" si="340"/>
        <v>164.23680000000002</v>
      </c>
      <c r="N409" s="27">
        <f t="shared" si="341"/>
        <v>387.83680000000004</v>
      </c>
      <c r="O409" s="76"/>
      <c r="P409" s="59"/>
      <c r="Q409" s="59"/>
      <c r="T409" s="61"/>
    </row>
    <row r="410" spans="1:20" s="60" customFormat="1" x14ac:dyDescent="0.3">
      <c r="A410" s="45">
        <f>IF(F410&lt;&gt;"",1+MAX($A$5:A409),"")</f>
        <v>211</v>
      </c>
      <c r="B410" s="106"/>
      <c r="C410" s="38" t="s">
        <v>261</v>
      </c>
      <c r="D410" s="55">
        <v>520</v>
      </c>
      <c r="E410" s="56">
        <v>0</v>
      </c>
      <c r="F410" s="57">
        <f>(1+E410)*D410</f>
        <v>520</v>
      </c>
      <c r="G410" s="58" t="s">
        <v>99</v>
      </c>
      <c r="H410" s="35">
        <v>0.43</v>
      </c>
      <c r="I410" s="35">
        <f t="shared" si="337"/>
        <v>223.6</v>
      </c>
      <c r="J410" s="43">
        <v>7.5199999999999998E-3</v>
      </c>
      <c r="K410" s="24">
        <f t="shared" si="338"/>
        <v>42</v>
      </c>
      <c r="L410" s="44">
        <f t="shared" si="339"/>
        <v>3.9104000000000001</v>
      </c>
      <c r="M410" s="27">
        <f t="shared" si="340"/>
        <v>164.23680000000002</v>
      </c>
      <c r="N410" s="27">
        <f t="shared" si="341"/>
        <v>387.83680000000004</v>
      </c>
      <c r="O410" s="76"/>
      <c r="P410" s="59"/>
      <c r="Q410" s="59"/>
      <c r="T410" s="61"/>
    </row>
    <row r="411" spans="1:20" s="60" customFormat="1" x14ac:dyDescent="0.3">
      <c r="A411" s="45">
        <f>IF(F411&lt;&gt;"",1+MAX($A$5:A410),"")</f>
        <v>212</v>
      </c>
      <c r="B411" s="106"/>
      <c r="C411" s="38" t="s">
        <v>260</v>
      </c>
      <c r="D411" s="55">
        <v>520</v>
      </c>
      <c r="E411" s="56">
        <v>0</v>
      </c>
      <c r="F411" s="57">
        <f>(1+E411)*D411</f>
        <v>520</v>
      </c>
      <c r="G411" s="58" t="s">
        <v>99</v>
      </c>
      <c r="H411" s="35">
        <v>0.43</v>
      </c>
      <c r="I411" s="35">
        <f t="shared" si="337"/>
        <v>223.6</v>
      </c>
      <c r="J411" s="43">
        <v>7.5199999999999998E-3</v>
      </c>
      <c r="K411" s="24">
        <f t="shared" si="338"/>
        <v>42</v>
      </c>
      <c r="L411" s="44">
        <f t="shared" si="339"/>
        <v>3.9104000000000001</v>
      </c>
      <c r="M411" s="27">
        <f t="shared" si="340"/>
        <v>164.23680000000002</v>
      </c>
      <c r="N411" s="27">
        <f t="shared" si="341"/>
        <v>387.83680000000004</v>
      </c>
      <c r="O411" s="76"/>
      <c r="P411" s="59"/>
      <c r="Q411" s="59"/>
      <c r="T411" s="61"/>
    </row>
    <row r="412" spans="1:20" s="60" customFormat="1" x14ac:dyDescent="0.3">
      <c r="A412" s="45" t="str">
        <f>IF(F412&lt;&gt;"",1+MAX($A$5:A411),"")</f>
        <v/>
      </c>
      <c r="B412" s="106"/>
      <c r="C412" s="38"/>
      <c r="D412" s="55"/>
      <c r="E412" s="56"/>
      <c r="F412" s="57"/>
      <c r="G412" s="58"/>
      <c r="H412" s="35"/>
      <c r="I412" s="35"/>
      <c r="J412" s="43"/>
      <c r="K412" s="24"/>
      <c r="L412" s="44"/>
      <c r="M412" s="27"/>
      <c r="N412" s="27"/>
      <c r="O412" s="76"/>
      <c r="P412" s="59"/>
      <c r="Q412" s="59"/>
      <c r="T412" s="61"/>
    </row>
    <row r="413" spans="1:20" s="60" customFormat="1" x14ac:dyDescent="0.3">
      <c r="A413" s="45" t="str">
        <f>IF(F413&lt;&gt;"",1+MAX($A$5:A412),"")</f>
        <v/>
      </c>
      <c r="B413" s="106"/>
      <c r="C413" s="94" t="s">
        <v>253</v>
      </c>
      <c r="D413" s="55"/>
      <c r="E413" s="56"/>
      <c r="F413" s="57"/>
      <c r="G413" s="58"/>
      <c r="H413" s="35"/>
      <c r="I413" s="35"/>
      <c r="J413" s="43"/>
      <c r="K413" s="24"/>
      <c r="L413" s="44"/>
      <c r="M413" s="27"/>
      <c r="N413" s="27"/>
      <c r="O413" s="76"/>
      <c r="P413" s="59"/>
      <c r="Q413" s="59"/>
      <c r="T413" s="61"/>
    </row>
    <row r="414" spans="1:20" s="60" customFormat="1" x14ac:dyDescent="0.3">
      <c r="A414" s="45">
        <f>IF(F414&lt;&gt;"",1+MAX($A$5:A413),"")</f>
        <v>213</v>
      </c>
      <c r="B414" s="106"/>
      <c r="C414" s="38" t="s">
        <v>259</v>
      </c>
      <c r="D414" s="55">
        <v>520</v>
      </c>
      <c r="E414" s="56">
        <v>0</v>
      </c>
      <c r="F414" s="57">
        <f>(1+E414)*D414</f>
        <v>520</v>
      </c>
      <c r="G414" s="58" t="s">
        <v>99</v>
      </c>
      <c r="H414" s="35">
        <v>0.46600000000000003</v>
      </c>
      <c r="I414" s="35">
        <f t="shared" ref="I414:I415" si="342">H414*F414</f>
        <v>242.32000000000002</v>
      </c>
      <c r="J414" s="43">
        <v>5.2639999999999996E-3</v>
      </c>
      <c r="K414" s="24">
        <f t="shared" ref="K414:K415" si="343">$N$387</f>
        <v>42</v>
      </c>
      <c r="L414" s="44">
        <f t="shared" ref="L414:L415" si="344">J414*F414</f>
        <v>2.7372799999999997</v>
      </c>
      <c r="M414" s="27">
        <f t="shared" ref="M414:M415" si="345">L414*K414</f>
        <v>114.96575999999999</v>
      </c>
      <c r="N414" s="27">
        <f t="shared" ref="N414:N415" si="346">M414+I414</f>
        <v>357.28575999999998</v>
      </c>
      <c r="O414" s="76"/>
      <c r="P414" s="59"/>
      <c r="Q414" s="59"/>
      <c r="T414" s="61"/>
    </row>
    <row r="415" spans="1:20" s="60" customFormat="1" x14ac:dyDescent="0.3">
      <c r="A415" s="45">
        <f>IF(F415&lt;&gt;"",1+MAX($A$5:A414),"")</f>
        <v>214</v>
      </c>
      <c r="B415" s="106"/>
      <c r="C415" s="38" t="s">
        <v>258</v>
      </c>
      <c r="D415" s="55">
        <v>520</v>
      </c>
      <c r="E415" s="56">
        <v>0</v>
      </c>
      <c r="F415" s="57">
        <f>(1+E415)*D415</f>
        <v>520</v>
      </c>
      <c r="G415" s="58" t="s">
        <v>99</v>
      </c>
      <c r="H415" s="35">
        <v>0.46600000000000003</v>
      </c>
      <c r="I415" s="35">
        <f t="shared" si="342"/>
        <v>242.32000000000002</v>
      </c>
      <c r="J415" s="43">
        <v>5.2639999999999996E-3</v>
      </c>
      <c r="K415" s="24">
        <f t="shared" si="343"/>
        <v>42</v>
      </c>
      <c r="L415" s="44">
        <f t="shared" si="344"/>
        <v>2.7372799999999997</v>
      </c>
      <c r="M415" s="27">
        <f t="shared" si="345"/>
        <v>114.96575999999999</v>
      </c>
      <c r="N415" s="27">
        <f t="shared" si="346"/>
        <v>357.28575999999998</v>
      </c>
      <c r="O415" s="76"/>
      <c r="P415" s="59"/>
      <c r="Q415" s="59"/>
      <c r="T415" s="61"/>
    </row>
    <row r="416" spans="1:20" s="60" customFormat="1" x14ac:dyDescent="0.3">
      <c r="A416" s="45" t="str">
        <f>IF(F416&lt;&gt;"",1+MAX($A$5:A415),"")</f>
        <v/>
      </c>
      <c r="B416" s="106"/>
      <c r="C416" s="38"/>
      <c r="D416" s="55"/>
      <c r="E416" s="56"/>
      <c r="F416" s="57"/>
      <c r="G416" s="58"/>
      <c r="H416" s="35"/>
      <c r="I416" s="35"/>
      <c r="J416" s="43"/>
      <c r="K416" s="24"/>
      <c r="L416" s="44"/>
      <c r="M416" s="27"/>
      <c r="N416" s="27"/>
      <c r="O416" s="76"/>
      <c r="P416" s="59"/>
      <c r="Q416" s="59"/>
      <c r="T416" s="61"/>
    </row>
    <row r="417" spans="1:20" s="60" customFormat="1" x14ac:dyDescent="0.3">
      <c r="A417" s="45" t="str">
        <f>IF(F417&lt;&gt;"",1+MAX($A$5:A416),"")</f>
        <v/>
      </c>
      <c r="B417" s="106"/>
      <c r="C417" s="86" t="s">
        <v>257</v>
      </c>
      <c r="D417" s="55"/>
      <c r="E417" s="56"/>
      <c r="F417" s="57"/>
      <c r="G417" s="58"/>
      <c r="H417" s="35"/>
      <c r="I417" s="35"/>
      <c r="J417" s="43"/>
      <c r="K417" s="24"/>
      <c r="L417" s="44"/>
      <c r="M417" s="27"/>
      <c r="N417" s="27"/>
      <c r="O417" s="76"/>
      <c r="P417" s="59"/>
      <c r="Q417" s="59"/>
      <c r="T417" s="61"/>
    </row>
    <row r="418" spans="1:20" s="60" customFormat="1" x14ac:dyDescent="0.3">
      <c r="A418" s="45" t="str">
        <f>IF(F418&lt;&gt;"",1+MAX($A$5:A417),"")</f>
        <v/>
      </c>
      <c r="B418" s="106"/>
      <c r="C418" s="94" t="s">
        <v>256</v>
      </c>
      <c r="D418" s="55"/>
      <c r="E418" s="56"/>
      <c r="F418" s="57"/>
      <c r="G418" s="58"/>
      <c r="H418" s="35"/>
      <c r="I418" s="35"/>
      <c r="J418" s="43"/>
      <c r="K418" s="24"/>
      <c r="L418" s="44"/>
      <c r="M418" s="27"/>
      <c r="N418" s="27"/>
      <c r="O418" s="76"/>
      <c r="P418" s="59"/>
      <c r="Q418" s="59"/>
      <c r="T418" s="61"/>
    </row>
    <row r="419" spans="1:20" s="60" customFormat="1" x14ac:dyDescent="0.3">
      <c r="A419" s="45">
        <f>IF(F419&lt;&gt;"",1+MAX($A$5:A418),"")</f>
        <v>215</v>
      </c>
      <c r="B419" s="106"/>
      <c r="C419" s="38" t="s">
        <v>255</v>
      </c>
      <c r="D419" s="55">
        <v>520</v>
      </c>
      <c r="E419" s="56">
        <v>0</v>
      </c>
      <c r="F419" s="57">
        <f>(1+E419)*D419</f>
        <v>520</v>
      </c>
      <c r="G419" s="58" t="s">
        <v>99</v>
      </c>
      <c r="H419" s="35">
        <v>0.78</v>
      </c>
      <c r="I419" s="35">
        <f t="shared" ref="I419" si="347">H419*F419</f>
        <v>405.6</v>
      </c>
      <c r="J419" s="43">
        <v>2.1619999999999999E-3</v>
      </c>
      <c r="K419" s="24">
        <f t="shared" ref="K419" si="348">$N$387</f>
        <v>42</v>
      </c>
      <c r="L419" s="44">
        <f t="shared" ref="L419" si="349">J419*F419</f>
        <v>1.1242399999999999</v>
      </c>
      <c r="M419" s="27">
        <f t="shared" ref="M419" si="350">L419*K419</f>
        <v>47.218079999999993</v>
      </c>
      <c r="N419" s="27">
        <f t="shared" ref="N419" si="351">M419+I419</f>
        <v>452.81808000000001</v>
      </c>
      <c r="O419" s="76"/>
      <c r="P419" s="59"/>
      <c r="Q419" s="59"/>
      <c r="T419" s="61"/>
    </row>
    <row r="420" spans="1:20" s="60" customFormat="1" x14ac:dyDescent="0.3">
      <c r="A420" s="45" t="str">
        <f>IF(F420&lt;&gt;"",1+MAX($A$5:A419),"")</f>
        <v/>
      </c>
      <c r="B420" s="106"/>
      <c r="C420" s="38"/>
      <c r="D420" s="55"/>
      <c r="E420" s="56"/>
      <c r="F420" s="57"/>
      <c r="G420" s="58"/>
      <c r="H420" s="35"/>
      <c r="I420" s="35"/>
      <c r="J420" s="43"/>
      <c r="K420" s="24"/>
      <c r="L420" s="44"/>
      <c r="M420" s="27"/>
      <c r="N420" s="27"/>
      <c r="O420" s="76"/>
      <c r="P420" s="59"/>
      <c r="Q420" s="59"/>
      <c r="T420" s="61"/>
    </row>
    <row r="421" spans="1:20" s="60" customFormat="1" x14ac:dyDescent="0.3">
      <c r="A421" s="45" t="str">
        <f>IF(F421&lt;&gt;"",1+MAX($A$5:A420),"")</f>
        <v/>
      </c>
      <c r="B421" s="106"/>
      <c r="C421" s="94" t="s">
        <v>117</v>
      </c>
      <c r="D421" s="55"/>
      <c r="E421" s="56"/>
      <c r="F421" s="57"/>
      <c r="G421" s="58"/>
      <c r="H421" s="35"/>
      <c r="I421" s="35"/>
      <c r="J421" s="43"/>
      <c r="K421" s="24"/>
      <c r="L421" s="44"/>
      <c r="M421" s="27"/>
      <c r="N421" s="27"/>
      <c r="O421" s="76"/>
      <c r="P421" s="59"/>
      <c r="Q421" s="59"/>
      <c r="T421" s="61"/>
    </row>
    <row r="422" spans="1:20" s="60" customFormat="1" x14ac:dyDescent="0.3">
      <c r="A422" s="45">
        <f>IF(F422&lt;&gt;"",1+MAX($A$5:A421),"")</f>
        <v>216</v>
      </c>
      <c r="B422" s="106"/>
      <c r="C422" s="38" t="s">
        <v>254</v>
      </c>
      <c r="D422" s="55">
        <v>520</v>
      </c>
      <c r="E422" s="56">
        <v>0</v>
      </c>
      <c r="F422" s="57">
        <f>(1+E422)*D422</f>
        <v>520</v>
      </c>
      <c r="G422" s="58" t="s">
        <v>99</v>
      </c>
      <c r="H422" s="35">
        <v>0.78</v>
      </c>
      <c r="I422" s="35">
        <f t="shared" ref="I422" si="352">H422*F422</f>
        <v>405.6</v>
      </c>
      <c r="J422" s="43">
        <v>5.2639999999999996E-3</v>
      </c>
      <c r="K422" s="24">
        <f t="shared" ref="K422" si="353">$N$387</f>
        <v>42</v>
      </c>
      <c r="L422" s="44">
        <f t="shared" ref="L422" si="354">J422*F422</f>
        <v>2.7372799999999997</v>
      </c>
      <c r="M422" s="27">
        <f t="shared" ref="M422" si="355">L422*K422</f>
        <v>114.96575999999999</v>
      </c>
      <c r="N422" s="27">
        <f t="shared" ref="N422" si="356">M422+I422</f>
        <v>520.56575999999995</v>
      </c>
      <c r="O422" s="76"/>
      <c r="P422" s="59"/>
      <c r="Q422" s="59"/>
      <c r="T422" s="61"/>
    </row>
    <row r="423" spans="1:20" s="60" customFormat="1" x14ac:dyDescent="0.3">
      <c r="A423" s="45" t="str">
        <f>IF(F423&lt;&gt;"",1+MAX($A$5:A422),"")</f>
        <v/>
      </c>
      <c r="B423" s="106"/>
      <c r="C423" s="38"/>
      <c r="D423" s="55"/>
      <c r="E423" s="56"/>
      <c r="F423" s="57"/>
      <c r="G423" s="58"/>
      <c r="H423" s="35"/>
      <c r="I423" s="35"/>
      <c r="J423" s="43"/>
      <c r="K423" s="24"/>
      <c r="L423" s="44"/>
      <c r="M423" s="27"/>
      <c r="N423" s="27"/>
      <c r="O423" s="76"/>
      <c r="P423" s="59"/>
      <c r="Q423" s="59"/>
      <c r="T423" s="61"/>
    </row>
    <row r="424" spans="1:20" s="60" customFormat="1" x14ac:dyDescent="0.3">
      <c r="A424" s="45" t="str">
        <f>IF(F424&lt;&gt;"",1+MAX($A$5:A423),"")</f>
        <v/>
      </c>
      <c r="B424" s="106"/>
      <c r="C424" s="94" t="s">
        <v>253</v>
      </c>
      <c r="D424" s="55"/>
      <c r="E424" s="56"/>
      <c r="F424" s="57"/>
      <c r="G424" s="58"/>
      <c r="H424" s="35"/>
      <c r="I424" s="35"/>
      <c r="J424" s="43"/>
      <c r="K424" s="24"/>
      <c r="L424" s="44"/>
      <c r="M424" s="27"/>
      <c r="N424" s="27"/>
      <c r="O424" s="76"/>
      <c r="P424" s="59"/>
      <c r="Q424" s="59"/>
      <c r="T424" s="61"/>
    </row>
    <row r="425" spans="1:20" s="60" customFormat="1" x14ac:dyDescent="0.3">
      <c r="A425" s="45">
        <f>IF(F425&lt;&gt;"",1+MAX($A$5:A424),"")</f>
        <v>217</v>
      </c>
      <c r="B425" s="106"/>
      <c r="C425" s="38" t="s">
        <v>252</v>
      </c>
      <c r="D425" s="55">
        <v>2</v>
      </c>
      <c r="E425" s="56">
        <v>0</v>
      </c>
      <c r="F425" s="57">
        <f>(1+E425)*D425</f>
        <v>2</v>
      </c>
      <c r="G425" s="58" t="s">
        <v>3</v>
      </c>
      <c r="H425" s="35">
        <v>52.919499999999999</v>
      </c>
      <c r="I425" s="35">
        <f t="shared" ref="I425" si="357">H425*F425</f>
        <v>105.839</v>
      </c>
      <c r="J425" s="43">
        <v>0.41641999999999996</v>
      </c>
      <c r="K425" s="24">
        <f t="shared" ref="K425" si="358">$N$387</f>
        <v>42</v>
      </c>
      <c r="L425" s="44">
        <f t="shared" ref="L425" si="359">J425*F425</f>
        <v>0.83283999999999991</v>
      </c>
      <c r="M425" s="27">
        <f t="shared" ref="M425" si="360">L425*K425</f>
        <v>34.979279999999996</v>
      </c>
      <c r="N425" s="27">
        <f t="shared" ref="N425" si="361">M425+I425</f>
        <v>140.81827999999999</v>
      </c>
      <c r="O425" s="76"/>
      <c r="P425" s="59"/>
      <c r="Q425" s="59"/>
      <c r="T425" s="61"/>
    </row>
    <row r="426" spans="1:20" s="60" customFormat="1" x14ac:dyDescent="0.3">
      <c r="A426" s="45" t="str">
        <f>IF(F426&lt;&gt;"",1+MAX($A$5:A425),"")</f>
        <v/>
      </c>
      <c r="B426" s="106"/>
      <c r="C426" s="38"/>
      <c r="D426" s="55"/>
      <c r="E426" s="56"/>
      <c r="F426" s="57"/>
      <c r="G426" s="58"/>
      <c r="H426" s="35"/>
      <c r="I426" s="35"/>
      <c r="J426" s="43"/>
      <c r="K426" s="24"/>
      <c r="L426" s="44"/>
      <c r="M426" s="27"/>
      <c r="N426" s="27"/>
      <c r="O426" s="76"/>
      <c r="P426" s="59"/>
      <c r="Q426" s="59"/>
      <c r="T426" s="61"/>
    </row>
    <row r="427" spans="1:20" s="60" customFormat="1" x14ac:dyDescent="0.3">
      <c r="A427" s="45" t="str">
        <f>IF(F427&lt;&gt;"",1+MAX($A$5:A426),"")</f>
        <v/>
      </c>
      <c r="B427" s="106"/>
      <c r="C427" s="86" t="s">
        <v>251</v>
      </c>
      <c r="D427" s="55"/>
      <c r="E427" s="56"/>
      <c r="F427" s="57"/>
      <c r="G427" s="58"/>
      <c r="H427" s="35"/>
      <c r="I427" s="35"/>
      <c r="J427" s="43"/>
      <c r="K427" s="24"/>
      <c r="L427" s="44"/>
      <c r="M427" s="27"/>
      <c r="N427" s="27"/>
      <c r="O427" s="76"/>
      <c r="P427" s="59"/>
      <c r="Q427" s="59"/>
      <c r="T427" s="61"/>
    </row>
    <row r="428" spans="1:20" s="60" customFormat="1" x14ac:dyDescent="0.3">
      <c r="A428" s="45">
        <f>IF(F428&lt;&gt;"",1+MAX($A$5:A427),"")</f>
        <v>218</v>
      </c>
      <c r="B428" s="106"/>
      <c r="C428" s="38" t="s">
        <v>116</v>
      </c>
      <c r="D428" s="55">
        <v>1</v>
      </c>
      <c r="E428" s="56">
        <v>0</v>
      </c>
      <c r="F428" s="57">
        <f>(1+E428)*D428</f>
        <v>1</v>
      </c>
      <c r="G428" s="58" t="s">
        <v>3</v>
      </c>
      <c r="H428" s="35">
        <v>1714.7860000000001</v>
      </c>
      <c r="I428" s="35">
        <f t="shared" ref="I428:I429" si="362">H428*F428</f>
        <v>1714.7860000000001</v>
      </c>
      <c r="J428" s="43">
        <v>2.2559999999999998</v>
      </c>
      <c r="K428" s="24">
        <f t="shared" ref="K428:K429" si="363">$N$387</f>
        <v>42</v>
      </c>
      <c r="L428" s="44">
        <f t="shared" ref="L428:L429" si="364">J428*F428</f>
        <v>2.2559999999999998</v>
      </c>
      <c r="M428" s="27">
        <f t="shared" ref="M428:M429" si="365">L428*K428</f>
        <v>94.751999999999995</v>
      </c>
      <c r="N428" s="27">
        <f t="shared" ref="N428:N429" si="366">M428+I428</f>
        <v>1809.538</v>
      </c>
      <c r="O428" s="76"/>
      <c r="P428" s="59"/>
      <c r="Q428" s="59"/>
      <c r="T428" s="61"/>
    </row>
    <row r="429" spans="1:20" s="60" customFormat="1" x14ac:dyDescent="0.3">
      <c r="A429" s="45">
        <f>IF(F429&lt;&gt;"",1+MAX($A$5:A428),"")</f>
        <v>219</v>
      </c>
      <c r="B429" s="106"/>
      <c r="C429" s="38" t="s">
        <v>250</v>
      </c>
      <c r="D429" s="55">
        <v>1</v>
      </c>
      <c r="E429" s="56">
        <v>0</v>
      </c>
      <c r="F429" s="57">
        <f>(1+E429)*D429</f>
        <v>1</v>
      </c>
      <c r="G429" s="58" t="s">
        <v>3</v>
      </c>
      <c r="H429" s="35">
        <v>160.215</v>
      </c>
      <c r="I429" s="35">
        <f t="shared" si="362"/>
        <v>160.215</v>
      </c>
      <c r="J429" s="43">
        <v>0.72097999999999995</v>
      </c>
      <c r="K429" s="24">
        <f t="shared" si="363"/>
        <v>42</v>
      </c>
      <c r="L429" s="44">
        <f t="shared" si="364"/>
        <v>0.72097999999999995</v>
      </c>
      <c r="M429" s="27">
        <f t="shared" si="365"/>
        <v>30.28116</v>
      </c>
      <c r="N429" s="27">
        <f t="shared" si="366"/>
        <v>190.49616</v>
      </c>
      <c r="O429" s="76"/>
      <c r="P429" s="59"/>
      <c r="Q429" s="59"/>
      <c r="T429" s="61"/>
    </row>
    <row r="430" spans="1:20" s="60" customFormat="1" x14ac:dyDescent="0.3">
      <c r="A430" s="45" t="str">
        <f>IF(F430&lt;&gt;"",1+MAX($A$5:A429),"")</f>
        <v/>
      </c>
      <c r="B430" s="106"/>
      <c r="C430" s="38"/>
      <c r="D430" s="55"/>
      <c r="E430" s="56"/>
      <c r="F430" s="57"/>
      <c r="G430" s="58"/>
      <c r="H430" s="35"/>
      <c r="I430" s="35"/>
      <c r="J430" s="43"/>
      <c r="K430" s="24"/>
      <c r="L430" s="44"/>
      <c r="M430" s="27"/>
      <c r="N430" s="27"/>
      <c r="O430" s="76"/>
      <c r="P430" s="59"/>
      <c r="Q430" s="59"/>
      <c r="T430" s="61"/>
    </row>
    <row r="431" spans="1:20" s="60" customFormat="1" x14ac:dyDescent="0.3">
      <c r="A431" s="45" t="str">
        <f>IF(F431&lt;&gt;"",1+MAX($A$5:A430),"")</f>
        <v/>
      </c>
      <c r="B431" s="106"/>
      <c r="C431" s="86" t="s">
        <v>29</v>
      </c>
      <c r="D431" s="55"/>
      <c r="E431" s="56"/>
      <c r="F431" s="57"/>
      <c r="G431" s="58"/>
      <c r="H431" s="35"/>
      <c r="I431" s="35"/>
      <c r="J431" s="43"/>
      <c r="K431" s="24"/>
      <c r="L431" s="44"/>
      <c r="M431" s="27"/>
      <c r="N431" s="27"/>
      <c r="O431" s="76"/>
      <c r="P431" s="59"/>
      <c r="Q431" s="59"/>
      <c r="T431" s="61"/>
    </row>
    <row r="432" spans="1:20" s="60" customFormat="1" x14ac:dyDescent="0.3">
      <c r="A432" s="45">
        <f>IF(F432&lt;&gt;"",1+MAX($A$5:A431),"")</f>
        <v>220</v>
      </c>
      <c r="B432" s="106"/>
      <c r="C432" s="38" t="s">
        <v>249</v>
      </c>
      <c r="D432" s="55">
        <v>1</v>
      </c>
      <c r="E432" s="56">
        <v>0</v>
      </c>
      <c r="F432" s="57">
        <f t="shared" ref="F432:F438" si="367">(1+E432)*D432</f>
        <v>1</v>
      </c>
      <c r="G432" s="58" t="s">
        <v>3</v>
      </c>
      <c r="H432" s="35">
        <v>2707.1480000000001</v>
      </c>
      <c r="I432" s="35">
        <f t="shared" ref="I432:I438" si="368">H432*F432</f>
        <v>2707.1480000000001</v>
      </c>
      <c r="J432" s="43">
        <v>7.52</v>
      </c>
      <c r="K432" s="24">
        <f t="shared" ref="K432:K438" si="369">$N$387</f>
        <v>42</v>
      </c>
      <c r="L432" s="44">
        <f t="shared" ref="L432:L438" si="370">J432*F432</f>
        <v>7.52</v>
      </c>
      <c r="M432" s="27">
        <f t="shared" ref="M432:M438" si="371">L432*K432</f>
        <v>315.83999999999997</v>
      </c>
      <c r="N432" s="27">
        <f t="shared" ref="N432:N438" si="372">M432+I432</f>
        <v>3022.9880000000003</v>
      </c>
      <c r="O432" s="76"/>
      <c r="P432" s="59"/>
      <c r="Q432" s="59"/>
      <c r="T432" s="61"/>
    </row>
    <row r="433" spans="1:20" s="60" customFormat="1" x14ac:dyDescent="0.3">
      <c r="A433" s="45">
        <f>IF(F433&lt;&gt;"",1+MAX($A$5:A432),"")</f>
        <v>221</v>
      </c>
      <c r="B433" s="106"/>
      <c r="C433" s="38" t="s">
        <v>248</v>
      </c>
      <c r="D433" s="55">
        <v>1</v>
      </c>
      <c r="E433" s="56">
        <v>0</v>
      </c>
      <c r="F433" s="57">
        <f t="shared" si="367"/>
        <v>1</v>
      </c>
      <c r="G433" s="58" t="s">
        <v>3</v>
      </c>
      <c r="H433" s="35">
        <v>1301.1399999999999</v>
      </c>
      <c r="I433" s="35">
        <f t="shared" si="368"/>
        <v>1301.1399999999999</v>
      </c>
      <c r="J433" s="43">
        <v>3.008</v>
      </c>
      <c r="K433" s="24">
        <f t="shared" si="369"/>
        <v>42</v>
      </c>
      <c r="L433" s="44">
        <f t="shared" si="370"/>
        <v>3.008</v>
      </c>
      <c r="M433" s="27">
        <f t="shared" si="371"/>
        <v>126.336</v>
      </c>
      <c r="N433" s="27">
        <f t="shared" si="372"/>
        <v>1427.4759999999999</v>
      </c>
      <c r="O433" s="76"/>
      <c r="P433" s="59"/>
      <c r="Q433" s="59"/>
      <c r="T433" s="61"/>
    </row>
    <row r="434" spans="1:20" s="60" customFormat="1" x14ac:dyDescent="0.3">
      <c r="A434" s="45">
        <f>IF(F434&lt;&gt;"",1+MAX($A$5:A433),"")</f>
        <v>222</v>
      </c>
      <c r="B434" s="106"/>
      <c r="C434" s="38" t="s">
        <v>78</v>
      </c>
      <c r="D434" s="55">
        <v>4</v>
      </c>
      <c r="E434" s="56">
        <v>0</v>
      </c>
      <c r="F434" s="57">
        <f t="shared" si="367"/>
        <v>4</v>
      </c>
      <c r="G434" s="58" t="s">
        <v>3</v>
      </c>
      <c r="H434" s="35">
        <v>743.78599999999994</v>
      </c>
      <c r="I434" s="35">
        <f t="shared" si="368"/>
        <v>2975.1439999999998</v>
      </c>
      <c r="J434" s="43">
        <v>1.88</v>
      </c>
      <c r="K434" s="24">
        <f t="shared" si="369"/>
        <v>42</v>
      </c>
      <c r="L434" s="44">
        <f t="shared" si="370"/>
        <v>7.52</v>
      </c>
      <c r="M434" s="27">
        <f t="shared" si="371"/>
        <v>315.83999999999997</v>
      </c>
      <c r="N434" s="27">
        <f t="shared" si="372"/>
        <v>3290.9839999999999</v>
      </c>
      <c r="O434" s="76"/>
      <c r="P434" s="59"/>
      <c r="Q434" s="59"/>
      <c r="T434" s="61"/>
    </row>
    <row r="435" spans="1:20" s="60" customFormat="1" x14ac:dyDescent="0.3">
      <c r="A435" s="45">
        <f>IF(F435&lt;&gt;"",1+MAX($A$5:A434),"")</f>
        <v>223</v>
      </c>
      <c r="B435" s="106"/>
      <c r="C435" s="38" t="s">
        <v>247</v>
      </c>
      <c r="D435" s="55">
        <v>1</v>
      </c>
      <c r="E435" s="56">
        <v>0</v>
      </c>
      <c r="F435" s="57">
        <f t="shared" si="367"/>
        <v>1</v>
      </c>
      <c r="G435" s="58" t="s">
        <v>3</v>
      </c>
      <c r="H435" s="35">
        <v>3146.04</v>
      </c>
      <c r="I435" s="35">
        <f t="shared" si="368"/>
        <v>3146.04</v>
      </c>
      <c r="J435" s="43">
        <v>7.52</v>
      </c>
      <c r="K435" s="24">
        <f t="shared" si="369"/>
        <v>42</v>
      </c>
      <c r="L435" s="44">
        <f t="shared" si="370"/>
        <v>7.52</v>
      </c>
      <c r="M435" s="27">
        <f t="shared" si="371"/>
        <v>315.83999999999997</v>
      </c>
      <c r="N435" s="27">
        <f t="shared" si="372"/>
        <v>3461.88</v>
      </c>
      <c r="O435" s="76"/>
      <c r="P435" s="59"/>
      <c r="Q435" s="59"/>
      <c r="T435" s="61"/>
    </row>
    <row r="436" spans="1:20" s="60" customFormat="1" x14ac:dyDescent="0.3">
      <c r="A436" s="45">
        <f>IF(F436&lt;&gt;"",1+MAX($A$5:A435),"")</f>
        <v>224</v>
      </c>
      <c r="B436" s="106"/>
      <c r="C436" s="38" t="s">
        <v>246</v>
      </c>
      <c r="D436" s="55">
        <v>1</v>
      </c>
      <c r="E436" s="56">
        <v>0</v>
      </c>
      <c r="F436" s="57">
        <f t="shared" si="367"/>
        <v>1</v>
      </c>
      <c r="G436" s="58" t="s">
        <v>3</v>
      </c>
      <c r="H436" s="35">
        <v>1412.8050000000001</v>
      </c>
      <c r="I436" s="35">
        <f t="shared" si="368"/>
        <v>1412.8050000000001</v>
      </c>
      <c r="J436" s="43">
        <v>1.88</v>
      </c>
      <c r="K436" s="24">
        <f t="shared" si="369"/>
        <v>42</v>
      </c>
      <c r="L436" s="44">
        <f t="shared" si="370"/>
        <v>1.88</v>
      </c>
      <c r="M436" s="27">
        <f t="shared" si="371"/>
        <v>78.959999999999994</v>
      </c>
      <c r="N436" s="27">
        <f t="shared" si="372"/>
        <v>1491.7650000000001</v>
      </c>
      <c r="O436" s="76"/>
      <c r="P436" s="59"/>
      <c r="Q436" s="59"/>
      <c r="T436" s="61"/>
    </row>
    <row r="437" spans="1:20" s="60" customFormat="1" x14ac:dyDescent="0.3">
      <c r="A437" s="45">
        <f>IF(F437&lt;&gt;"",1+MAX($A$5:A436),"")</f>
        <v>225</v>
      </c>
      <c r="B437" s="106"/>
      <c r="C437" s="38" t="s">
        <v>245</v>
      </c>
      <c r="D437" s="55">
        <v>1</v>
      </c>
      <c r="E437" s="56">
        <v>0</v>
      </c>
      <c r="F437" s="57">
        <f t="shared" si="367"/>
        <v>1</v>
      </c>
      <c r="G437" s="58" t="s">
        <v>3</v>
      </c>
      <c r="H437" s="35">
        <v>650.56999999999994</v>
      </c>
      <c r="I437" s="35">
        <f t="shared" si="368"/>
        <v>650.56999999999994</v>
      </c>
      <c r="J437" s="43">
        <v>1.88</v>
      </c>
      <c r="K437" s="24">
        <f t="shared" si="369"/>
        <v>42</v>
      </c>
      <c r="L437" s="44">
        <f t="shared" si="370"/>
        <v>1.88</v>
      </c>
      <c r="M437" s="27">
        <f t="shared" si="371"/>
        <v>78.959999999999994</v>
      </c>
      <c r="N437" s="27">
        <f t="shared" si="372"/>
        <v>729.53</v>
      </c>
      <c r="O437" s="76"/>
      <c r="P437" s="59"/>
      <c r="Q437" s="59"/>
      <c r="T437" s="61"/>
    </row>
    <row r="438" spans="1:20" s="60" customFormat="1" x14ac:dyDescent="0.3">
      <c r="A438" s="45">
        <f>IF(F438&lt;&gt;"",1+MAX($A$5:A437),"")</f>
        <v>226</v>
      </c>
      <c r="B438" s="106"/>
      <c r="C438" s="38" t="s">
        <v>77</v>
      </c>
      <c r="D438" s="55">
        <v>3</v>
      </c>
      <c r="E438" s="56">
        <v>0</v>
      </c>
      <c r="F438" s="57">
        <f t="shared" si="367"/>
        <v>3</v>
      </c>
      <c r="G438" s="58" t="s">
        <v>3</v>
      </c>
      <c r="H438" s="35">
        <v>569.97699999999998</v>
      </c>
      <c r="I438" s="35">
        <f t="shared" si="368"/>
        <v>1709.931</v>
      </c>
      <c r="J438" s="43">
        <v>3.2335999999999996</v>
      </c>
      <c r="K438" s="24">
        <f t="shared" si="369"/>
        <v>42</v>
      </c>
      <c r="L438" s="44">
        <f t="shared" si="370"/>
        <v>9.7007999999999992</v>
      </c>
      <c r="M438" s="27">
        <f t="shared" si="371"/>
        <v>407.43359999999996</v>
      </c>
      <c r="N438" s="27">
        <f t="shared" si="372"/>
        <v>2117.3645999999999</v>
      </c>
      <c r="O438" s="76"/>
      <c r="P438" s="59"/>
      <c r="Q438" s="59"/>
      <c r="T438" s="61"/>
    </row>
    <row r="439" spans="1:20" s="60" customFormat="1" x14ac:dyDescent="0.3">
      <c r="A439" s="45" t="str">
        <f>IF(F439&lt;&gt;"",1+MAX($A$5:A438),"")</f>
        <v/>
      </c>
      <c r="B439" s="91"/>
      <c r="C439" s="38"/>
      <c r="D439" s="55"/>
      <c r="E439" s="56"/>
      <c r="F439" s="57"/>
      <c r="G439" s="58"/>
      <c r="H439" s="35"/>
      <c r="I439" s="35"/>
      <c r="J439" s="43"/>
      <c r="K439" s="24"/>
      <c r="L439" s="44"/>
      <c r="M439" s="27"/>
      <c r="N439" s="27"/>
      <c r="O439" s="76"/>
      <c r="P439" s="59"/>
      <c r="Q439" s="59"/>
      <c r="T439" s="61"/>
    </row>
    <row r="440" spans="1:20" s="60" customFormat="1" x14ac:dyDescent="0.3">
      <c r="A440" s="45" t="str">
        <f>IF(F440&lt;&gt;"",1+MAX($A$5:A439),"")</f>
        <v/>
      </c>
      <c r="B440" s="91"/>
      <c r="C440" s="95" t="s">
        <v>270</v>
      </c>
      <c r="D440" s="55"/>
      <c r="E440" s="56"/>
      <c r="F440" s="57"/>
      <c r="G440" s="58"/>
      <c r="H440" s="35"/>
      <c r="I440" s="35"/>
      <c r="J440" s="43"/>
      <c r="K440" s="24"/>
      <c r="L440" s="44"/>
      <c r="M440" s="27"/>
      <c r="N440" s="27"/>
      <c r="O440" s="76"/>
      <c r="P440" s="59"/>
      <c r="Q440" s="59"/>
      <c r="T440" s="61"/>
    </row>
    <row r="441" spans="1:20" s="60" customFormat="1" x14ac:dyDescent="0.3">
      <c r="A441" s="45" t="str">
        <f>IF(F441&lt;&gt;"",1+MAX($A$5:A440),"")</f>
        <v/>
      </c>
      <c r="B441" s="91"/>
      <c r="C441" s="38"/>
      <c r="D441" s="55"/>
      <c r="E441" s="56"/>
      <c r="F441" s="57"/>
      <c r="G441" s="58"/>
      <c r="H441" s="35"/>
      <c r="I441" s="35"/>
      <c r="J441" s="43"/>
      <c r="K441" s="24"/>
      <c r="L441" s="44"/>
      <c r="M441" s="27"/>
      <c r="N441" s="27"/>
      <c r="O441" s="76"/>
      <c r="P441" s="59"/>
      <c r="Q441" s="59"/>
      <c r="T441" s="61"/>
    </row>
    <row r="442" spans="1:20" s="3" customFormat="1" x14ac:dyDescent="0.25">
      <c r="A442" s="31"/>
      <c r="B442" s="62"/>
      <c r="C442" s="17" t="s">
        <v>31</v>
      </c>
      <c r="D442" s="25"/>
      <c r="E442" s="8"/>
      <c r="F442" s="28"/>
      <c r="G442" s="8"/>
      <c r="H442" s="8"/>
      <c r="I442" s="8"/>
      <c r="J442" s="8"/>
      <c r="K442" s="8"/>
      <c r="L442" s="8"/>
      <c r="M442" s="22"/>
      <c r="N442" s="8"/>
      <c r="O442" s="9">
        <f>SUM(N446:N500)</f>
        <v>36372.093779792995</v>
      </c>
      <c r="P442" s="59"/>
      <c r="Q442" s="2"/>
      <c r="T442" s="16"/>
    </row>
    <row r="443" spans="1:20" s="3" customFormat="1" x14ac:dyDescent="0.25">
      <c r="A443" s="45" t="str">
        <f>IF(F443&lt;&gt;"",1+MAX($A$5:A442),"")</f>
        <v/>
      </c>
      <c r="B443" s="84"/>
      <c r="C443" s="18"/>
      <c r="D443" s="19"/>
      <c r="E443" s="20"/>
      <c r="F443" s="29"/>
      <c r="G443" s="21"/>
      <c r="H443" s="21"/>
      <c r="I443" s="21"/>
      <c r="J443" s="21"/>
      <c r="K443" s="21"/>
      <c r="L443" s="21"/>
      <c r="M443" s="40" t="s">
        <v>21</v>
      </c>
      <c r="N443" s="41">
        <v>42</v>
      </c>
      <c r="O443" s="76"/>
      <c r="P443" s="59"/>
      <c r="Q443" s="2"/>
      <c r="T443" s="16"/>
    </row>
    <row r="444" spans="1:20" s="60" customFormat="1" x14ac:dyDescent="0.3">
      <c r="A444" s="45" t="str">
        <f>IF(F444&lt;&gt;"",1+MAX($A$5:A443),"")</f>
        <v/>
      </c>
      <c r="B444" s="91"/>
      <c r="C444" s="86" t="s">
        <v>72</v>
      </c>
      <c r="D444" s="55"/>
      <c r="E444" s="56"/>
      <c r="F444" s="57"/>
      <c r="G444" s="58"/>
      <c r="H444" s="35"/>
      <c r="I444" s="35"/>
      <c r="J444" s="43"/>
      <c r="K444" s="24"/>
      <c r="L444" s="44"/>
      <c r="M444" s="27"/>
      <c r="N444" s="27"/>
      <c r="O444" s="76"/>
      <c r="P444" s="59"/>
      <c r="Q444" s="59"/>
      <c r="T444" s="61"/>
    </row>
    <row r="445" spans="1:20" s="60" customFormat="1" x14ac:dyDescent="0.3">
      <c r="A445" s="45" t="str">
        <f>IF(F445&lt;&gt;"",1+MAX($A$5:A444),"")</f>
        <v/>
      </c>
      <c r="B445" s="91"/>
      <c r="C445" s="94" t="s">
        <v>313</v>
      </c>
      <c r="D445" s="55"/>
      <c r="E445" s="56"/>
      <c r="F445" s="57"/>
      <c r="G445" s="58"/>
      <c r="H445" s="35"/>
      <c r="I445" s="35"/>
      <c r="J445" s="43"/>
      <c r="K445" s="24"/>
      <c r="L445" s="44"/>
      <c r="M445" s="27"/>
      <c r="N445" s="27"/>
      <c r="O445" s="76"/>
      <c r="P445" s="59"/>
      <c r="Q445" s="59"/>
      <c r="T445" s="61"/>
    </row>
    <row r="446" spans="1:20" s="60" customFormat="1" x14ac:dyDescent="0.3">
      <c r="A446" s="45" t="str">
        <f>IF(F446&lt;&gt;"",1+MAX($A$5:A445),"")</f>
        <v/>
      </c>
      <c r="B446" s="91"/>
      <c r="C446" s="105" t="s">
        <v>298</v>
      </c>
      <c r="D446" s="55"/>
      <c r="E446" s="56"/>
      <c r="F446" s="57"/>
      <c r="G446" s="58"/>
      <c r="H446" s="35"/>
      <c r="I446" s="35"/>
      <c r="J446" s="43"/>
      <c r="K446" s="24"/>
      <c r="L446" s="44"/>
      <c r="M446" s="27"/>
      <c r="N446" s="27"/>
      <c r="O446" s="76"/>
      <c r="P446" s="59"/>
      <c r="Q446" s="59"/>
      <c r="T446" s="61"/>
    </row>
    <row r="447" spans="1:20" s="60" customFormat="1" x14ac:dyDescent="0.3">
      <c r="A447" s="45">
        <f>IF(F447&lt;&gt;"",1+MAX($A$5:A446),"")</f>
        <v>227</v>
      </c>
      <c r="B447" s="91"/>
      <c r="C447" s="38" t="s">
        <v>312</v>
      </c>
      <c r="D447" s="55">
        <v>35.049999999999997</v>
      </c>
      <c r="E447" s="56">
        <v>0.1</v>
      </c>
      <c r="F447" s="57">
        <f>(1+E447)*D447</f>
        <v>38.555</v>
      </c>
      <c r="G447" s="58" t="s">
        <v>4</v>
      </c>
      <c r="H447" s="35">
        <v>6.573669999999999</v>
      </c>
      <c r="I447" s="35">
        <f t="shared" ref="I447" si="373">H447*F447</f>
        <v>253.44784684999996</v>
      </c>
      <c r="J447" s="43">
        <v>0.125584</v>
      </c>
      <c r="K447" s="24">
        <f>$N$443</f>
        <v>42</v>
      </c>
      <c r="L447" s="44">
        <f t="shared" ref="L447" si="374">J447*F447</f>
        <v>4.8418911199999997</v>
      </c>
      <c r="M447" s="27">
        <f t="shared" ref="M447" si="375">L447*K447</f>
        <v>203.35942703999999</v>
      </c>
      <c r="N447" s="27">
        <f t="shared" ref="N447" si="376">M447+I447</f>
        <v>456.80727388999992</v>
      </c>
      <c r="O447" s="76"/>
      <c r="P447" s="59"/>
      <c r="Q447" s="59"/>
      <c r="T447" s="61"/>
    </row>
    <row r="448" spans="1:20" s="60" customFormat="1" x14ac:dyDescent="0.3">
      <c r="A448" s="45" t="str">
        <f>IF(F448&lt;&gt;"",1+MAX($A$5:A447),"")</f>
        <v/>
      </c>
      <c r="B448" s="91"/>
      <c r="C448" s="38"/>
      <c r="D448" s="55"/>
      <c r="E448" s="56"/>
      <c r="F448" s="57"/>
      <c r="G448" s="58"/>
      <c r="H448" s="35"/>
      <c r="I448" s="35"/>
      <c r="J448" s="43"/>
      <c r="K448" s="24"/>
      <c r="L448" s="44"/>
      <c r="M448" s="27"/>
      <c r="N448" s="27"/>
      <c r="O448" s="76"/>
      <c r="P448" s="59"/>
      <c r="Q448" s="59"/>
      <c r="T448" s="61"/>
    </row>
    <row r="449" spans="1:20" s="60" customFormat="1" x14ac:dyDescent="0.3">
      <c r="A449" s="45" t="str">
        <f>IF(F449&lt;&gt;"",1+MAX($A$5:A448),"")</f>
        <v/>
      </c>
      <c r="B449" s="91"/>
      <c r="C449" s="105" t="s">
        <v>311</v>
      </c>
      <c r="D449" s="55"/>
      <c r="E449" s="56"/>
      <c r="F449" s="57"/>
      <c r="G449" s="58"/>
      <c r="H449" s="35"/>
      <c r="I449" s="35"/>
      <c r="J449" s="43"/>
      <c r="K449" s="24"/>
      <c r="L449" s="44"/>
      <c r="M449" s="27"/>
      <c r="N449" s="27"/>
      <c r="O449" s="76"/>
      <c r="P449" s="59"/>
      <c r="Q449" s="59"/>
      <c r="T449" s="61"/>
    </row>
    <row r="450" spans="1:20" s="60" customFormat="1" x14ac:dyDescent="0.3">
      <c r="A450" s="45">
        <f>IF(F450&lt;&gt;"",1+MAX($A$5:A449),"")</f>
        <v>228</v>
      </c>
      <c r="B450" s="91"/>
      <c r="C450" s="38" t="s">
        <v>310</v>
      </c>
      <c r="D450" s="55">
        <v>15.53</v>
      </c>
      <c r="E450" s="56">
        <v>0.1</v>
      </c>
      <c r="F450" s="57">
        <f t="shared" ref="F450:F456" si="377">(1+E450)*D450</f>
        <v>17.083000000000002</v>
      </c>
      <c r="G450" s="58" t="s">
        <v>4</v>
      </c>
      <c r="H450" s="35">
        <v>11.0694</v>
      </c>
      <c r="I450" s="35">
        <f t="shared" ref="I450:I456" si="378">H450*F450</f>
        <v>189.09856020000001</v>
      </c>
      <c r="J450" s="43">
        <v>0.13441999999999998</v>
      </c>
      <c r="K450" s="24">
        <f t="shared" ref="K450:K456" si="379">$N$443</f>
        <v>42</v>
      </c>
      <c r="L450" s="44">
        <f t="shared" ref="L450:L456" si="380">J450*F450</f>
        <v>2.29629686</v>
      </c>
      <c r="M450" s="27">
        <f t="shared" ref="M450:M456" si="381">L450*K450</f>
        <v>96.444468119999996</v>
      </c>
      <c r="N450" s="27">
        <f t="shared" ref="N450:N456" si="382">M450+I450</f>
        <v>285.54302832000002</v>
      </c>
      <c r="O450" s="76"/>
      <c r="P450" s="59"/>
      <c r="Q450" s="59"/>
      <c r="T450" s="61"/>
    </row>
    <row r="451" spans="1:20" s="60" customFormat="1" x14ac:dyDescent="0.3">
      <c r="A451" s="45">
        <f>IF(F451&lt;&gt;"",1+MAX($A$5:A450),"")</f>
        <v>229</v>
      </c>
      <c r="B451" s="91"/>
      <c r="C451" s="38" t="s">
        <v>309</v>
      </c>
      <c r="D451" s="55">
        <v>8.43</v>
      </c>
      <c r="E451" s="56">
        <v>0.1</v>
      </c>
      <c r="F451" s="57">
        <f t="shared" si="377"/>
        <v>9.2729999999999997</v>
      </c>
      <c r="G451" s="58" t="s">
        <v>4</v>
      </c>
      <c r="H451" s="35">
        <v>12.622999999999999</v>
      </c>
      <c r="I451" s="35">
        <f t="shared" si="378"/>
        <v>117.053079</v>
      </c>
      <c r="J451" s="43">
        <v>0.13441999999999998</v>
      </c>
      <c r="K451" s="24">
        <f t="shared" si="379"/>
        <v>42</v>
      </c>
      <c r="L451" s="44">
        <f t="shared" si="380"/>
        <v>1.2464766599999999</v>
      </c>
      <c r="M451" s="27">
        <f t="shared" si="381"/>
        <v>52.352019719999994</v>
      </c>
      <c r="N451" s="27">
        <f t="shared" si="382"/>
        <v>169.40509871999998</v>
      </c>
      <c r="O451" s="76"/>
      <c r="P451" s="59"/>
      <c r="Q451" s="59"/>
      <c r="T451" s="61"/>
    </row>
    <row r="452" spans="1:20" s="60" customFormat="1" x14ac:dyDescent="0.3">
      <c r="A452" s="45">
        <f>IF(F452&lt;&gt;"",1+MAX($A$5:A451),"")</f>
        <v>230</v>
      </c>
      <c r="B452" s="91"/>
      <c r="C452" s="38" t="s">
        <v>308</v>
      </c>
      <c r="D452" s="55">
        <v>10.97</v>
      </c>
      <c r="E452" s="56">
        <v>0.1</v>
      </c>
      <c r="F452" s="57">
        <f t="shared" si="377"/>
        <v>12.067000000000002</v>
      </c>
      <c r="G452" s="58" t="s">
        <v>4</v>
      </c>
      <c r="H452" s="35">
        <v>13.938705000000001</v>
      </c>
      <c r="I452" s="35">
        <f t="shared" si="378"/>
        <v>168.19835323500004</v>
      </c>
      <c r="J452" s="43">
        <v>0.13441999999999998</v>
      </c>
      <c r="K452" s="24">
        <f t="shared" si="379"/>
        <v>42</v>
      </c>
      <c r="L452" s="44">
        <f t="shared" si="380"/>
        <v>1.6220461400000001</v>
      </c>
      <c r="M452" s="27">
        <f t="shared" si="381"/>
        <v>68.125937880000009</v>
      </c>
      <c r="N452" s="27">
        <f t="shared" si="382"/>
        <v>236.32429111500005</v>
      </c>
      <c r="O452" s="76"/>
      <c r="P452" s="59"/>
      <c r="Q452" s="59"/>
      <c r="T452" s="61"/>
    </row>
    <row r="453" spans="1:20" s="60" customFormat="1" x14ac:dyDescent="0.3">
      <c r="A453" s="45">
        <f>IF(F453&lt;&gt;"",1+MAX($A$5:A452),"")</f>
        <v>231</v>
      </c>
      <c r="B453" s="91"/>
      <c r="C453" s="38" t="s">
        <v>307</v>
      </c>
      <c r="D453" s="55">
        <v>22.66</v>
      </c>
      <c r="E453" s="56">
        <v>0.1</v>
      </c>
      <c r="F453" s="57">
        <f t="shared" si="377"/>
        <v>24.926000000000002</v>
      </c>
      <c r="G453" s="58" t="s">
        <v>4</v>
      </c>
      <c r="H453" s="35">
        <v>15.147599999999999</v>
      </c>
      <c r="I453" s="35">
        <f t="shared" si="378"/>
        <v>377.56907760000001</v>
      </c>
      <c r="J453" s="43">
        <v>0.13441999999999998</v>
      </c>
      <c r="K453" s="24">
        <f t="shared" si="379"/>
        <v>42</v>
      </c>
      <c r="L453" s="44">
        <f t="shared" si="380"/>
        <v>3.3505529199999997</v>
      </c>
      <c r="M453" s="27">
        <f t="shared" si="381"/>
        <v>140.72322263999999</v>
      </c>
      <c r="N453" s="27">
        <f t="shared" si="382"/>
        <v>518.29230024000003</v>
      </c>
      <c r="O453" s="76"/>
      <c r="P453" s="59"/>
      <c r="Q453" s="59"/>
      <c r="T453" s="61"/>
    </row>
    <row r="454" spans="1:20" s="60" customFormat="1" x14ac:dyDescent="0.3">
      <c r="A454" s="45">
        <f>IF(F454&lt;&gt;"",1+MAX($A$5:A453),"")</f>
        <v>232</v>
      </c>
      <c r="B454" s="91"/>
      <c r="C454" s="38" t="s">
        <v>306</v>
      </c>
      <c r="D454" s="55">
        <v>9.9499999999999993</v>
      </c>
      <c r="E454" s="56">
        <v>0.1</v>
      </c>
      <c r="F454" s="57">
        <f t="shared" si="377"/>
        <v>10.945</v>
      </c>
      <c r="G454" s="58" t="s">
        <v>4</v>
      </c>
      <c r="H454" s="35">
        <v>16.7012</v>
      </c>
      <c r="I454" s="35">
        <f t="shared" si="378"/>
        <v>182.794634</v>
      </c>
      <c r="J454" s="43">
        <v>0.13441999999999998</v>
      </c>
      <c r="K454" s="24">
        <f t="shared" si="379"/>
        <v>42</v>
      </c>
      <c r="L454" s="44">
        <f t="shared" si="380"/>
        <v>1.4712268999999998</v>
      </c>
      <c r="M454" s="27">
        <f t="shared" si="381"/>
        <v>61.791529799999992</v>
      </c>
      <c r="N454" s="27">
        <f t="shared" si="382"/>
        <v>244.58616380000001</v>
      </c>
      <c r="O454" s="76"/>
      <c r="P454" s="59"/>
      <c r="Q454" s="59"/>
      <c r="T454" s="61"/>
    </row>
    <row r="455" spans="1:20" s="60" customFormat="1" x14ac:dyDescent="0.3">
      <c r="A455" s="45">
        <f>IF(F455&lt;&gt;"",1+MAX($A$5:A454),"")</f>
        <v>233</v>
      </c>
      <c r="B455" s="91"/>
      <c r="C455" s="38" t="s">
        <v>305</v>
      </c>
      <c r="D455" s="55">
        <v>9.39</v>
      </c>
      <c r="E455" s="56">
        <v>0.1</v>
      </c>
      <c r="F455" s="57">
        <f t="shared" si="377"/>
        <v>10.329000000000001</v>
      </c>
      <c r="G455" s="58" t="s">
        <v>4</v>
      </c>
      <c r="H455" s="35">
        <v>17.701329999999999</v>
      </c>
      <c r="I455" s="35">
        <f t="shared" si="378"/>
        <v>182.83703757000001</v>
      </c>
      <c r="J455" s="43">
        <v>0.14419599999999999</v>
      </c>
      <c r="K455" s="24">
        <f t="shared" si="379"/>
        <v>42</v>
      </c>
      <c r="L455" s="44">
        <f t="shared" si="380"/>
        <v>1.4894004839999999</v>
      </c>
      <c r="M455" s="27">
        <f t="shared" si="381"/>
        <v>62.554820327999998</v>
      </c>
      <c r="N455" s="27">
        <f t="shared" si="382"/>
        <v>245.39185789800001</v>
      </c>
      <c r="O455" s="76"/>
      <c r="P455" s="59"/>
      <c r="Q455" s="59"/>
      <c r="T455" s="61"/>
    </row>
    <row r="456" spans="1:20" s="60" customFormat="1" x14ac:dyDescent="0.3">
      <c r="A456" s="45">
        <f>IF(F456&lt;&gt;"",1+MAX($A$5:A455),"")</f>
        <v>234</v>
      </c>
      <c r="B456" s="91"/>
      <c r="C456" s="38" t="s">
        <v>304</v>
      </c>
      <c r="D456" s="55">
        <v>7.98</v>
      </c>
      <c r="E456" s="56">
        <v>0.1</v>
      </c>
      <c r="F456" s="57">
        <f t="shared" si="377"/>
        <v>8.7780000000000005</v>
      </c>
      <c r="G456" s="58" t="s">
        <v>4</v>
      </c>
      <c r="H456" s="35">
        <v>23.595300000000002</v>
      </c>
      <c r="I456" s="35">
        <f t="shared" si="378"/>
        <v>207.11954340000003</v>
      </c>
      <c r="J456" s="43">
        <v>0.17577999999999999</v>
      </c>
      <c r="K456" s="24">
        <f t="shared" si="379"/>
        <v>42</v>
      </c>
      <c r="L456" s="44">
        <f t="shared" si="380"/>
        <v>1.54299684</v>
      </c>
      <c r="M456" s="27">
        <f t="shared" si="381"/>
        <v>64.805867280000001</v>
      </c>
      <c r="N456" s="27">
        <f t="shared" si="382"/>
        <v>271.92541068000003</v>
      </c>
      <c r="O456" s="76"/>
      <c r="P456" s="59"/>
      <c r="Q456" s="59"/>
      <c r="T456" s="61"/>
    </row>
    <row r="457" spans="1:20" s="60" customFormat="1" x14ac:dyDescent="0.3">
      <c r="A457" s="45" t="str">
        <f>IF(F457&lt;&gt;"",1+MAX($A$5:A456),"")</f>
        <v/>
      </c>
      <c r="B457" s="91"/>
      <c r="C457" s="38"/>
      <c r="D457" s="55"/>
      <c r="E457" s="56"/>
      <c r="F457" s="57"/>
      <c r="G457" s="58"/>
      <c r="H457" s="35"/>
      <c r="I457" s="35"/>
      <c r="J457" s="43"/>
      <c r="K457" s="24"/>
      <c r="L457" s="44"/>
      <c r="M457" s="27"/>
      <c r="N457" s="27"/>
      <c r="O457" s="76"/>
      <c r="P457" s="59"/>
      <c r="Q457" s="59"/>
      <c r="T457" s="61"/>
    </row>
    <row r="458" spans="1:20" s="60" customFormat="1" x14ac:dyDescent="0.3">
      <c r="A458" s="45" t="str">
        <f>IF(F458&lt;&gt;"",1+MAX($A$5:A457),"")</f>
        <v/>
      </c>
      <c r="B458" s="91"/>
      <c r="C458" s="105" t="s">
        <v>303</v>
      </c>
      <c r="D458" s="55"/>
      <c r="E458" s="56"/>
      <c r="F458" s="57"/>
      <c r="G458" s="58"/>
      <c r="H458" s="35"/>
      <c r="I458" s="35"/>
      <c r="J458" s="43"/>
      <c r="K458" s="24"/>
      <c r="L458" s="44"/>
      <c r="M458" s="27"/>
      <c r="N458" s="27"/>
      <c r="O458" s="76"/>
      <c r="P458" s="59"/>
      <c r="Q458" s="59"/>
      <c r="T458" s="61"/>
    </row>
    <row r="459" spans="1:20" s="60" customFormat="1" x14ac:dyDescent="0.3">
      <c r="A459" s="45">
        <f>IF(F459&lt;&gt;"",1+MAX($A$5:A458),"")</f>
        <v>235</v>
      </c>
      <c r="B459" s="91"/>
      <c r="C459" s="38" t="s">
        <v>302</v>
      </c>
      <c r="D459" s="55">
        <v>37.020000000000003</v>
      </c>
      <c r="E459" s="56">
        <v>0.1</v>
      </c>
      <c r="F459" s="57">
        <f>(1+E459)*D459</f>
        <v>40.722000000000008</v>
      </c>
      <c r="G459" s="58" t="s">
        <v>4</v>
      </c>
      <c r="H459" s="35">
        <v>3.5538600000000002</v>
      </c>
      <c r="I459" s="35">
        <f t="shared" ref="I459:I461" si="383">H459*F459</f>
        <v>144.72028692000004</v>
      </c>
      <c r="J459" s="43">
        <v>7.238E-2</v>
      </c>
      <c r="K459" s="24">
        <f t="shared" ref="K459:K461" si="384">$N$443</f>
        <v>42</v>
      </c>
      <c r="L459" s="44">
        <f t="shared" ref="L459:L461" si="385">J459*F459</f>
        <v>2.9474583600000006</v>
      </c>
      <c r="M459" s="27">
        <f t="shared" ref="M459:M461" si="386">L459*K459</f>
        <v>123.79325112000002</v>
      </c>
      <c r="N459" s="27">
        <f t="shared" ref="N459:N461" si="387">M459+I459</f>
        <v>268.51353804000007</v>
      </c>
      <c r="O459" s="76"/>
      <c r="P459" s="59"/>
      <c r="Q459" s="59"/>
      <c r="T459" s="61"/>
    </row>
    <row r="460" spans="1:20" s="60" customFormat="1" x14ac:dyDescent="0.3">
      <c r="A460" s="45">
        <f>IF(F460&lt;&gt;"",1+MAX($A$5:A459),"")</f>
        <v>236</v>
      </c>
      <c r="B460" s="91"/>
      <c r="C460" s="38" t="s">
        <v>301</v>
      </c>
      <c r="D460" s="55">
        <v>11.6</v>
      </c>
      <c r="E460" s="56">
        <v>0.1</v>
      </c>
      <c r="F460" s="57">
        <f>(1+E460)*D460</f>
        <v>12.76</v>
      </c>
      <c r="G460" s="58" t="s">
        <v>4</v>
      </c>
      <c r="H460" s="35">
        <v>5.2434000000000003</v>
      </c>
      <c r="I460" s="35">
        <f t="shared" si="383"/>
        <v>66.905783999999997</v>
      </c>
      <c r="J460" s="43">
        <v>9.4E-2</v>
      </c>
      <c r="K460" s="24">
        <f t="shared" si="384"/>
        <v>42</v>
      </c>
      <c r="L460" s="44">
        <f t="shared" si="385"/>
        <v>1.1994400000000001</v>
      </c>
      <c r="M460" s="27">
        <f t="shared" si="386"/>
        <v>50.376480000000001</v>
      </c>
      <c r="N460" s="27">
        <f t="shared" si="387"/>
        <v>117.282264</v>
      </c>
      <c r="O460" s="76"/>
      <c r="P460" s="59"/>
      <c r="Q460" s="59"/>
      <c r="T460" s="61"/>
    </row>
    <row r="461" spans="1:20" s="60" customFormat="1" x14ac:dyDescent="0.3">
      <c r="A461" s="45">
        <f>IF(F461&lt;&gt;"",1+MAX($A$5:A460),"")</f>
        <v>237</v>
      </c>
      <c r="B461" s="91"/>
      <c r="C461" s="38" t="s">
        <v>300</v>
      </c>
      <c r="D461" s="55">
        <v>64.73</v>
      </c>
      <c r="E461" s="56">
        <v>0.1</v>
      </c>
      <c r="F461" s="57">
        <f>(1+E461)*D461</f>
        <v>71.203000000000017</v>
      </c>
      <c r="G461" s="58" t="s">
        <v>4</v>
      </c>
      <c r="H461" s="35">
        <v>6.573669999999999</v>
      </c>
      <c r="I461" s="35">
        <f t="shared" si="383"/>
        <v>468.06502501000006</v>
      </c>
      <c r="J461" s="43">
        <v>0.12501999999999999</v>
      </c>
      <c r="K461" s="24">
        <f t="shared" si="384"/>
        <v>42</v>
      </c>
      <c r="L461" s="44">
        <f t="shared" si="385"/>
        <v>8.9017990600000019</v>
      </c>
      <c r="M461" s="27">
        <f t="shared" si="386"/>
        <v>373.87556052000008</v>
      </c>
      <c r="N461" s="27">
        <f t="shared" si="387"/>
        <v>841.94058553000013</v>
      </c>
      <c r="O461" s="76"/>
      <c r="P461" s="59"/>
      <c r="Q461" s="59"/>
      <c r="T461" s="61"/>
    </row>
    <row r="462" spans="1:20" s="60" customFormat="1" x14ac:dyDescent="0.3">
      <c r="A462" s="45" t="str">
        <f>IF(F462&lt;&gt;"",1+MAX($A$5:A461),"")</f>
        <v/>
      </c>
      <c r="B462" s="91"/>
      <c r="C462" s="38"/>
      <c r="D462" s="55"/>
      <c r="E462" s="56"/>
      <c r="F462" s="57"/>
      <c r="G462" s="58"/>
      <c r="H462" s="35"/>
      <c r="I462" s="35"/>
      <c r="J462" s="43"/>
      <c r="K462" s="24"/>
      <c r="L462" s="44"/>
      <c r="M462" s="27"/>
      <c r="N462" s="27"/>
      <c r="O462" s="76"/>
      <c r="P462" s="59"/>
      <c r="Q462" s="59"/>
      <c r="T462" s="61"/>
    </row>
    <row r="463" spans="1:20" s="60" customFormat="1" x14ac:dyDescent="0.3">
      <c r="A463" s="45" t="str">
        <f>IF(F463&lt;&gt;"",1+MAX($A$5:A462),"")</f>
        <v/>
      </c>
      <c r="B463" s="91"/>
      <c r="C463" s="94" t="s">
        <v>299</v>
      </c>
      <c r="D463" s="55"/>
      <c r="E463" s="56"/>
      <c r="F463" s="57"/>
      <c r="G463" s="58"/>
      <c r="H463" s="35"/>
      <c r="I463" s="35"/>
      <c r="J463" s="43"/>
      <c r="K463" s="24"/>
      <c r="L463" s="44"/>
      <c r="M463" s="27"/>
      <c r="N463" s="27"/>
      <c r="O463" s="76"/>
      <c r="P463" s="59"/>
      <c r="Q463" s="59"/>
      <c r="T463" s="61"/>
    </row>
    <row r="464" spans="1:20" s="60" customFormat="1" x14ac:dyDescent="0.3">
      <c r="A464" s="45" t="str">
        <f>IF(F464&lt;&gt;"",1+MAX($A$5:A463),"")</f>
        <v/>
      </c>
      <c r="B464" s="91"/>
      <c r="C464" s="105" t="s">
        <v>298</v>
      </c>
      <c r="D464" s="55"/>
      <c r="E464" s="56"/>
      <c r="F464" s="57"/>
      <c r="G464" s="58"/>
      <c r="H464" s="35"/>
      <c r="I464" s="35"/>
      <c r="J464" s="43"/>
      <c r="K464" s="24"/>
      <c r="L464" s="44"/>
      <c r="M464" s="27"/>
      <c r="N464" s="27"/>
      <c r="O464" s="76"/>
      <c r="P464" s="59"/>
      <c r="Q464" s="59"/>
      <c r="T464" s="61"/>
    </row>
    <row r="465" spans="1:20" s="60" customFormat="1" x14ac:dyDescent="0.3">
      <c r="A465" s="45">
        <f>IF(F465&lt;&gt;"",1+MAX($A$5:A464),"")</f>
        <v>238</v>
      </c>
      <c r="B465" s="91"/>
      <c r="C465" s="38" t="s">
        <v>111</v>
      </c>
      <c r="D465" s="55">
        <v>39.380000000000003</v>
      </c>
      <c r="E465" s="56">
        <v>0.1</v>
      </c>
      <c r="F465" s="57">
        <f>(1+E465)*D465</f>
        <v>43.318000000000005</v>
      </c>
      <c r="G465" s="58" t="s">
        <v>4</v>
      </c>
      <c r="H465" s="35">
        <v>3.5538600000000002</v>
      </c>
      <c r="I465" s="35">
        <f t="shared" ref="I465:I466" si="388">H465*F465</f>
        <v>153.94610748000002</v>
      </c>
      <c r="J465" s="43">
        <v>7.238E-2</v>
      </c>
      <c r="K465" s="24">
        <f t="shared" ref="K465:K466" si="389">$N$443</f>
        <v>42</v>
      </c>
      <c r="L465" s="44">
        <f t="shared" ref="L465:L466" si="390">J465*F465</f>
        <v>3.1353568400000005</v>
      </c>
      <c r="M465" s="27">
        <f t="shared" ref="M465:M466" si="391">L465*K465</f>
        <v>131.68498728000003</v>
      </c>
      <c r="N465" s="27">
        <f t="shared" ref="N465:N466" si="392">M465+I465</f>
        <v>285.63109476000005</v>
      </c>
      <c r="O465" s="76"/>
      <c r="P465" s="59"/>
      <c r="Q465" s="59"/>
      <c r="T465" s="61"/>
    </row>
    <row r="466" spans="1:20" s="60" customFormat="1" x14ac:dyDescent="0.3">
      <c r="A466" s="45">
        <f>IF(F466&lt;&gt;"",1+MAX($A$5:A465),"")</f>
        <v>239</v>
      </c>
      <c r="B466" s="91"/>
      <c r="C466" s="38" t="s">
        <v>297</v>
      </c>
      <c r="D466" s="55">
        <v>15.92</v>
      </c>
      <c r="E466" s="56">
        <v>0.1</v>
      </c>
      <c r="F466" s="57">
        <f>(1+E466)*D466</f>
        <v>17.512</v>
      </c>
      <c r="G466" s="58" t="s">
        <v>4</v>
      </c>
      <c r="H466" s="35">
        <v>5.2434000000000003</v>
      </c>
      <c r="I466" s="35">
        <f t="shared" si="388"/>
        <v>91.822420800000003</v>
      </c>
      <c r="J466" s="43">
        <v>9.4E-2</v>
      </c>
      <c r="K466" s="24">
        <f t="shared" si="389"/>
        <v>42</v>
      </c>
      <c r="L466" s="44">
        <f t="shared" si="390"/>
        <v>1.646128</v>
      </c>
      <c r="M466" s="27">
        <f t="shared" si="391"/>
        <v>69.137376000000003</v>
      </c>
      <c r="N466" s="27">
        <f t="shared" si="392"/>
        <v>160.95979679999999</v>
      </c>
      <c r="O466" s="76"/>
      <c r="P466" s="59"/>
      <c r="Q466" s="59"/>
      <c r="T466" s="61"/>
    </row>
    <row r="467" spans="1:20" s="60" customFormat="1" x14ac:dyDescent="0.3">
      <c r="A467" s="45" t="str">
        <f>IF(F467&lt;&gt;"",1+MAX($A$5:A466),"")</f>
        <v/>
      </c>
      <c r="B467" s="91"/>
      <c r="C467" s="38"/>
      <c r="D467" s="55"/>
      <c r="E467" s="56"/>
      <c r="F467" s="57"/>
      <c r="G467" s="58"/>
      <c r="H467" s="35"/>
      <c r="I467" s="35"/>
      <c r="J467" s="43"/>
      <c r="K467" s="24"/>
      <c r="L467" s="44"/>
      <c r="M467" s="27"/>
      <c r="N467" s="27"/>
      <c r="O467" s="76"/>
      <c r="P467" s="59"/>
      <c r="Q467" s="59"/>
      <c r="T467" s="61"/>
    </row>
    <row r="468" spans="1:20" s="60" customFormat="1" x14ac:dyDescent="0.3">
      <c r="A468" s="45" t="str">
        <f>IF(F468&lt;&gt;"",1+MAX($A$5:A467),"")</f>
        <v/>
      </c>
      <c r="B468" s="91"/>
      <c r="C468" s="86" t="s">
        <v>296</v>
      </c>
      <c r="D468" s="55"/>
      <c r="E468" s="56"/>
      <c r="F468" s="57"/>
      <c r="G468" s="58"/>
      <c r="H468" s="35"/>
      <c r="I468" s="35"/>
      <c r="J468" s="43"/>
      <c r="K468" s="24"/>
      <c r="L468" s="44"/>
      <c r="M468" s="27"/>
      <c r="N468" s="27"/>
      <c r="O468" s="76"/>
      <c r="P468" s="59"/>
      <c r="Q468" s="59"/>
      <c r="T468" s="61"/>
    </row>
    <row r="469" spans="1:20" s="60" customFormat="1" x14ac:dyDescent="0.3">
      <c r="A469" s="45">
        <f>IF(F469&lt;&gt;"",1+MAX($A$5:A468),"")</f>
        <v>240</v>
      </c>
      <c r="B469" s="91"/>
      <c r="C469" s="38" t="s">
        <v>295</v>
      </c>
      <c r="D469" s="55">
        <v>7</v>
      </c>
      <c r="E469" s="56">
        <v>0</v>
      </c>
      <c r="F469" s="57">
        <f t="shared" ref="F469:F479" si="393">(1+E469)*D469</f>
        <v>7</v>
      </c>
      <c r="G469" s="58" t="s">
        <v>3</v>
      </c>
      <c r="H469" s="35">
        <v>31.363299999999995</v>
      </c>
      <c r="I469" s="35">
        <f t="shared" ref="I469:I479" si="394">H469*F469</f>
        <v>219.54309999999998</v>
      </c>
      <c r="J469" s="43">
        <v>0.22935999999999998</v>
      </c>
      <c r="K469" s="24">
        <f t="shared" ref="K469:K479" si="395">$N$443</f>
        <v>42</v>
      </c>
      <c r="L469" s="44">
        <f t="shared" ref="L469:L479" si="396">J469*F469</f>
        <v>1.6055199999999998</v>
      </c>
      <c r="M469" s="27">
        <f t="shared" ref="M469:M479" si="397">L469*K469</f>
        <v>67.431839999999994</v>
      </c>
      <c r="N469" s="27">
        <f t="shared" ref="N469:N479" si="398">M469+I469</f>
        <v>286.97493999999995</v>
      </c>
      <c r="O469" s="76"/>
      <c r="P469" s="59"/>
      <c r="Q469" s="59"/>
      <c r="T469" s="61"/>
    </row>
    <row r="470" spans="1:20" s="60" customFormat="1" x14ac:dyDescent="0.3">
      <c r="A470" s="45">
        <f>IF(F470&lt;&gt;"",1+MAX($A$5:A469),"")</f>
        <v>241</v>
      </c>
      <c r="B470" s="91"/>
      <c r="C470" s="38" t="s">
        <v>294</v>
      </c>
      <c r="D470" s="55">
        <v>2</v>
      </c>
      <c r="E470" s="56">
        <v>0</v>
      </c>
      <c r="F470" s="57">
        <f t="shared" si="393"/>
        <v>2</v>
      </c>
      <c r="G470" s="58" t="s">
        <v>3</v>
      </c>
      <c r="H470" s="35">
        <v>34.373399999999997</v>
      </c>
      <c r="I470" s="35">
        <f t="shared" si="394"/>
        <v>68.746799999999993</v>
      </c>
      <c r="J470" s="43">
        <v>0.23876</v>
      </c>
      <c r="K470" s="24">
        <f t="shared" si="395"/>
        <v>42</v>
      </c>
      <c r="L470" s="44">
        <f t="shared" si="396"/>
        <v>0.47752</v>
      </c>
      <c r="M470" s="27">
        <f t="shared" si="397"/>
        <v>20.05584</v>
      </c>
      <c r="N470" s="27">
        <f t="shared" si="398"/>
        <v>88.802639999999997</v>
      </c>
      <c r="O470" s="76"/>
      <c r="P470" s="59"/>
      <c r="Q470" s="59"/>
      <c r="T470" s="61"/>
    </row>
    <row r="471" spans="1:20" s="60" customFormat="1" x14ac:dyDescent="0.3">
      <c r="A471" s="45">
        <f>IF(F471&lt;&gt;"",1+MAX($A$5:A470),"")</f>
        <v>242</v>
      </c>
      <c r="B471" s="91"/>
      <c r="C471" s="38" t="s">
        <v>293</v>
      </c>
      <c r="D471" s="55">
        <v>1</v>
      </c>
      <c r="E471" s="56">
        <v>0</v>
      </c>
      <c r="F471" s="57">
        <f t="shared" si="393"/>
        <v>1</v>
      </c>
      <c r="G471" s="58" t="s">
        <v>3</v>
      </c>
      <c r="H471" s="35">
        <v>40.005200000000002</v>
      </c>
      <c r="I471" s="35">
        <f t="shared" si="394"/>
        <v>40.005200000000002</v>
      </c>
      <c r="J471" s="43">
        <v>0.3196</v>
      </c>
      <c r="K471" s="24">
        <f t="shared" si="395"/>
        <v>42</v>
      </c>
      <c r="L471" s="44">
        <f t="shared" si="396"/>
        <v>0.3196</v>
      </c>
      <c r="M471" s="27">
        <f t="shared" si="397"/>
        <v>13.4232</v>
      </c>
      <c r="N471" s="27">
        <f t="shared" si="398"/>
        <v>53.428400000000003</v>
      </c>
      <c r="O471" s="76"/>
      <c r="P471" s="59"/>
      <c r="Q471" s="59"/>
      <c r="T471" s="61"/>
    </row>
    <row r="472" spans="1:20" s="60" customFormat="1" x14ac:dyDescent="0.3">
      <c r="A472" s="45">
        <f>IF(F472&lt;&gt;"",1+MAX($A$5:A471),"")</f>
        <v>243</v>
      </c>
      <c r="B472" s="91"/>
      <c r="C472" s="38" t="s">
        <v>292</v>
      </c>
      <c r="D472" s="55">
        <v>10</v>
      </c>
      <c r="E472" s="56">
        <v>0</v>
      </c>
      <c r="F472" s="57">
        <f t="shared" si="393"/>
        <v>10</v>
      </c>
      <c r="G472" s="58" t="s">
        <v>3</v>
      </c>
      <c r="H472" s="35">
        <v>40.005200000000002</v>
      </c>
      <c r="I472" s="35">
        <f t="shared" si="394"/>
        <v>400.05200000000002</v>
      </c>
      <c r="J472" s="43">
        <v>0.3196</v>
      </c>
      <c r="K472" s="24">
        <f t="shared" si="395"/>
        <v>42</v>
      </c>
      <c r="L472" s="44">
        <f t="shared" si="396"/>
        <v>3.1959999999999997</v>
      </c>
      <c r="M472" s="27">
        <f t="shared" si="397"/>
        <v>134.232</v>
      </c>
      <c r="N472" s="27">
        <f t="shared" si="398"/>
        <v>534.28399999999999</v>
      </c>
      <c r="O472" s="76"/>
      <c r="P472" s="59"/>
      <c r="Q472" s="59"/>
      <c r="T472" s="61"/>
    </row>
    <row r="473" spans="1:20" s="60" customFormat="1" x14ac:dyDescent="0.3">
      <c r="A473" s="45">
        <f>IF(F473&lt;&gt;"",1+MAX($A$5:A472),"")</f>
        <v>244</v>
      </c>
      <c r="B473" s="91"/>
      <c r="C473" s="38" t="s">
        <v>291</v>
      </c>
      <c r="D473" s="55">
        <v>1</v>
      </c>
      <c r="E473" s="56">
        <v>0</v>
      </c>
      <c r="F473" s="57">
        <f t="shared" si="393"/>
        <v>1</v>
      </c>
      <c r="G473" s="58" t="s">
        <v>3</v>
      </c>
      <c r="H473" s="35">
        <v>41.073299999999996</v>
      </c>
      <c r="I473" s="35">
        <f t="shared" si="394"/>
        <v>41.073299999999996</v>
      </c>
      <c r="J473" s="43">
        <v>0.33463999999999994</v>
      </c>
      <c r="K473" s="24">
        <f t="shared" si="395"/>
        <v>42</v>
      </c>
      <c r="L473" s="44">
        <f t="shared" si="396"/>
        <v>0.33463999999999994</v>
      </c>
      <c r="M473" s="27">
        <f t="shared" si="397"/>
        <v>14.054879999999997</v>
      </c>
      <c r="N473" s="27">
        <f t="shared" si="398"/>
        <v>55.128179999999993</v>
      </c>
      <c r="O473" s="76"/>
      <c r="P473" s="59"/>
      <c r="Q473" s="59"/>
      <c r="T473" s="61"/>
    </row>
    <row r="474" spans="1:20" s="60" customFormat="1" x14ac:dyDescent="0.3">
      <c r="A474" s="45">
        <f>IF(F474&lt;&gt;"",1+MAX($A$5:A473),"")</f>
        <v>245</v>
      </c>
      <c r="B474" s="91"/>
      <c r="C474" s="38" t="s">
        <v>290</v>
      </c>
      <c r="D474" s="55">
        <v>1</v>
      </c>
      <c r="E474" s="56">
        <v>0</v>
      </c>
      <c r="F474" s="57">
        <f t="shared" si="393"/>
        <v>1</v>
      </c>
      <c r="G474" s="58" t="s">
        <v>3</v>
      </c>
      <c r="H474" s="35">
        <v>41.073299999999996</v>
      </c>
      <c r="I474" s="35">
        <f t="shared" si="394"/>
        <v>41.073299999999996</v>
      </c>
      <c r="J474" s="43">
        <v>0.33463999999999994</v>
      </c>
      <c r="K474" s="24">
        <f t="shared" si="395"/>
        <v>42</v>
      </c>
      <c r="L474" s="44">
        <f t="shared" si="396"/>
        <v>0.33463999999999994</v>
      </c>
      <c r="M474" s="27">
        <f t="shared" si="397"/>
        <v>14.054879999999997</v>
      </c>
      <c r="N474" s="27">
        <f t="shared" si="398"/>
        <v>55.128179999999993</v>
      </c>
      <c r="O474" s="76"/>
      <c r="P474" s="59"/>
      <c r="Q474" s="59"/>
      <c r="T474" s="61"/>
    </row>
    <row r="475" spans="1:20" s="60" customFormat="1" x14ac:dyDescent="0.3">
      <c r="A475" s="45">
        <f>IF(F475&lt;&gt;"",1+MAX($A$5:A474),"")</f>
        <v>246</v>
      </c>
      <c r="B475" s="91"/>
      <c r="C475" s="38" t="s">
        <v>289</v>
      </c>
      <c r="D475" s="55">
        <v>1</v>
      </c>
      <c r="E475" s="56">
        <v>0</v>
      </c>
      <c r="F475" s="57">
        <f t="shared" si="393"/>
        <v>1</v>
      </c>
      <c r="G475" s="58" t="s">
        <v>3</v>
      </c>
      <c r="H475" s="35">
        <v>41.073299999999996</v>
      </c>
      <c r="I475" s="35">
        <f t="shared" si="394"/>
        <v>41.073299999999996</v>
      </c>
      <c r="J475" s="43">
        <v>0.33463999999999994</v>
      </c>
      <c r="K475" s="24">
        <f t="shared" si="395"/>
        <v>42</v>
      </c>
      <c r="L475" s="44">
        <f t="shared" si="396"/>
        <v>0.33463999999999994</v>
      </c>
      <c r="M475" s="27">
        <f t="shared" si="397"/>
        <v>14.054879999999997</v>
      </c>
      <c r="N475" s="27">
        <f t="shared" si="398"/>
        <v>55.128179999999993</v>
      </c>
      <c r="O475" s="76"/>
      <c r="P475" s="59"/>
      <c r="Q475" s="59"/>
      <c r="T475" s="61"/>
    </row>
    <row r="476" spans="1:20" s="60" customFormat="1" x14ac:dyDescent="0.3">
      <c r="A476" s="45">
        <f>IF(F476&lt;&gt;"",1+MAX($A$5:A475),"")</f>
        <v>247</v>
      </c>
      <c r="B476" s="91"/>
      <c r="C476" s="38" t="s">
        <v>288</v>
      </c>
      <c r="D476" s="55">
        <v>1</v>
      </c>
      <c r="E476" s="56">
        <v>0</v>
      </c>
      <c r="F476" s="57">
        <f t="shared" si="393"/>
        <v>1</v>
      </c>
      <c r="G476" s="58" t="s">
        <v>3</v>
      </c>
      <c r="H476" s="35">
        <v>41.073299999999996</v>
      </c>
      <c r="I476" s="35">
        <f t="shared" si="394"/>
        <v>41.073299999999996</v>
      </c>
      <c r="J476" s="43">
        <v>0.33463999999999994</v>
      </c>
      <c r="K476" s="24">
        <f t="shared" si="395"/>
        <v>42</v>
      </c>
      <c r="L476" s="44">
        <f t="shared" si="396"/>
        <v>0.33463999999999994</v>
      </c>
      <c r="M476" s="27">
        <f t="shared" si="397"/>
        <v>14.054879999999997</v>
      </c>
      <c r="N476" s="27">
        <f t="shared" si="398"/>
        <v>55.128179999999993</v>
      </c>
      <c r="O476" s="76"/>
      <c r="P476" s="59"/>
      <c r="Q476" s="59"/>
      <c r="T476" s="61"/>
    </row>
    <row r="477" spans="1:20" s="60" customFormat="1" x14ac:dyDescent="0.3">
      <c r="A477" s="45">
        <f>IF(F477&lt;&gt;"",1+MAX($A$5:A476),"")</f>
        <v>248</v>
      </c>
      <c r="B477" s="91"/>
      <c r="C477" s="38" t="s">
        <v>287</v>
      </c>
      <c r="D477" s="55">
        <v>1</v>
      </c>
      <c r="E477" s="56">
        <v>0</v>
      </c>
      <c r="F477" s="57">
        <f t="shared" si="393"/>
        <v>1</v>
      </c>
      <c r="G477" s="58" t="s">
        <v>3</v>
      </c>
      <c r="H477" s="35">
        <v>54.375999999999998</v>
      </c>
      <c r="I477" s="35">
        <f t="shared" si="394"/>
        <v>54.375999999999998</v>
      </c>
      <c r="J477" s="43">
        <v>0.33463999999999994</v>
      </c>
      <c r="K477" s="24">
        <f t="shared" si="395"/>
        <v>42</v>
      </c>
      <c r="L477" s="44">
        <f t="shared" si="396"/>
        <v>0.33463999999999994</v>
      </c>
      <c r="M477" s="27">
        <f t="shared" si="397"/>
        <v>14.054879999999997</v>
      </c>
      <c r="N477" s="27">
        <f t="shared" si="398"/>
        <v>68.430880000000002</v>
      </c>
      <c r="O477" s="76"/>
      <c r="P477" s="59"/>
      <c r="Q477" s="59"/>
      <c r="T477" s="61"/>
    </row>
    <row r="478" spans="1:20" s="60" customFormat="1" x14ac:dyDescent="0.3">
      <c r="A478" s="45">
        <f>IF(F478&lt;&gt;"",1+MAX($A$5:A477),"")</f>
        <v>249</v>
      </c>
      <c r="B478" s="91"/>
      <c r="C478" s="38" t="s">
        <v>286</v>
      </c>
      <c r="D478" s="55">
        <v>1</v>
      </c>
      <c r="E478" s="56">
        <v>0</v>
      </c>
      <c r="F478" s="57">
        <f t="shared" si="393"/>
        <v>1</v>
      </c>
      <c r="G478" s="58" t="s">
        <v>3</v>
      </c>
      <c r="H478" s="35">
        <v>54.375999999999998</v>
      </c>
      <c r="I478" s="35">
        <f t="shared" si="394"/>
        <v>54.375999999999998</v>
      </c>
      <c r="J478" s="43">
        <v>0.33463999999999994</v>
      </c>
      <c r="K478" s="24">
        <f t="shared" si="395"/>
        <v>42</v>
      </c>
      <c r="L478" s="44">
        <f t="shared" si="396"/>
        <v>0.33463999999999994</v>
      </c>
      <c r="M478" s="27">
        <f t="shared" si="397"/>
        <v>14.054879999999997</v>
      </c>
      <c r="N478" s="27">
        <f t="shared" si="398"/>
        <v>68.430880000000002</v>
      </c>
      <c r="O478" s="76"/>
      <c r="P478" s="59"/>
      <c r="Q478" s="59"/>
      <c r="T478" s="61"/>
    </row>
    <row r="479" spans="1:20" s="60" customFormat="1" x14ac:dyDescent="0.3">
      <c r="A479" s="45">
        <f>IF(F479&lt;&gt;"",1+MAX($A$5:A478),"")</f>
        <v>250</v>
      </c>
      <c r="B479" s="91"/>
      <c r="C479" s="38" t="s">
        <v>285</v>
      </c>
      <c r="D479" s="55">
        <v>1</v>
      </c>
      <c r="E479" s="56">
        <v>0</v>
      </c>
      <c r="F479" s="57">
        <f t="shared" si="393"/>
        <v>1</v>
      </c>
      <c r="G479" s="58" t="s">
        <v>3</v>
      </c>
      <c r="H479" s="35">
        <v>64.085999999999999</v>
      </c>
      <c r="I479" s="35">
        <f t="shared" si="394"/>
        <v>64.085999999999999</v>
      </c>
      <c r="J479" s="43">
        <v>0.376</v>
      </c>
      <c r="K479" s="24">
        <f t="shared" si="395"/>
        <v>42</v>
      </c>
      <c r="L479" s="44">
        <f t="shared" si="396"/>
        <v>0.376</v>
      </c>
      <c r="M479" s="27">
        <f t="shared" si="397"/>
        <v>15.792</v>
      </c>
      <c r="N479" s="27">
        <f t="shared" si="398"/>
        <v>79.878</v>
      </c>
      <c r="O479" s="76"/>
      <c r="P479" s="59"/>
      <c r="Q479" s="59"/>
      <c r="T479" s="61"/>
    </row>
    <row r="480" spans="1:20" s="60" customFormat="1" x14ac:dyDescent="0.3">
      <c r="A480" s="45" t="str">
        <f>IF(F480&lt;&gt;"",1+MAX($A$5:A479),"")</f>
        <v/>
      </c>
      <c r="B480" s="91"/>
      <c r="C480" s="38"/>
      <c r="D480" s="55"/>
      <c r="E480" s="56"/>
      <c r="F480" s="57"/>
      <c r="G480" s="58"/>
      <c r="H480" s="35"/>
      <c r="I480" s="35"/>
      <c r="J480" s="43"/>
      <c r="K480" s="24"/>
      <c r="L480" s="44"/>
      <c r="M480" s="27"/>
      <c r="N480" s="27"/>
      <c r="O480" s="76"/>
      <c r="P480" s="59"/>
      <c r="Q480" s="59"/>
      <c r="T480" s="61"/>
    </row>
    <row r="481" spans="1:20" s="60" customFormat="1" x14ac:dyDescent="0.3">
      <c r="A481" s="45" t="str">
        <f>IF(F481&lt;&gt;"",1+MAX($A$5:A480),"")</f>
        <v/>
      </c>
      <c r="B481" s="91"/>
      <c r="C481" s="86" t="s">
        <v>120</v>
      </c>
      <c r="D481" s="55"/>
      <c r="E481" s="56"/>
      <c r="F481" s="57"/>
      <c r="G481" s="58"/>
      <c r="H481" s="35"/>
      <c r="I481" s="35"/>
      <c r="J481" s="43"/>
      <c r="K481" s="24"/>
      <c r="L481" s="44"/>
      <c r="M481" s="27"/>
      <c r="N481" s="27"/>
      <c r="O481" s="76"/>
      <c r="P481" s="59"/>
      <c r="Q481" s="59"/>
      <c r="T481" s="61"/>
    </row>
    <row r="482" spans="1:20" s="60" customFormat="1" x14ac:dyDescent="0.3">
      <c r="A482" s="45">
        <f>IF(F482&lt;&gt;"",1+MAX($A$5:A481),"")</f>
        <v>251</v>
      </c>
      <c r="B482" s="91"/>
      <c r="C482" s="38" t="s">
        <v>284</v>
      </c>
      <c r="D482" s="55">
        <v>5</v>
      </c>
      <c r="E482" s="56">
        <v>0</v>
      </c>
      <c r="F482" s="57">
        <f>(1+E482)*D482</f>
        <v>5</v>
      </c>
      <c r="G482" s="58" t="s">
        <v>3</v>
      </c>
      <c r="H482" s="35">
        <v>240.41959999999997</v>
      </c>
      <c r="I482" s="35">
        <f t="shared" ref="I482:I484" si="399">H482*F482</f>
        <v>1202.098</v>
      </c>
      <c r="J482" s="43">
        <v>1.4184599999999998</v>
      </c>
      <c r="K482" s="24">
        <f t="shared" ref="K482:K484" si="400">$N$443</f>
        <v>42</v>
      </c>
      <c r="L482" s="44">
        <f t="shared" ref="L482:L484" si="401">J482*F482</f>
        <v>7.0922999999999989</v>
      </c>
      <c r="M482" s="27">
        <f t="shared" ref="M482:M484" si="402">L482*K482</f>
        <v>297.87659999999994</v>
      </c>
      <c r="N482" s="27">
        <f t="shared" ref="N482:N484" si="403">M482+I482</f>
        <v>1499.9746</v>
      </c>
      <c r="O482" s="76"/>
      <c r="P482" s="59"/>
      <c r="Q482" s="59"/>
      <c r="T482" s="61"/>
    </row>
    <row r="483" spans="1:20" s="60" customFormat="1" x14ac:dyDescent="0.3">
      <c r="A483" s="45">
        <f>IF(F483&lt;&gt;"",1+MAX($A$5:A482),"")</f>
        <v>252</v>
      </c>
      <c r="B483" s="91"/>
      <c r="C483" s="38" t="s">
        <v>283</v>
      </c>
      <c r="D483" s="55">
        <v>2</v>
      </c>
      <c r="E483" s="56">
        <v>0</v>
      </c>
      <c r="F483" s="57">
        <f>(1+E483)*D483</f>
        <v>2</v>
      </c>
      <c r="G483" s="58" t="s">
        <v>3</v>
      </c>
      <c r="H483" s="35">
        <v>4456</v>
      </c>
      <c r="I483" s="35">
        <f t="shared" si="399"/>
        <v>8912</v>
      </c>
      <c r="J483" s="43">
        <v>2.3029999999999999</v>
      </c>
      <c r="K483" s="24">
        <f t="shared" si="400"/>
        <v>42</v>
      </c>
      <c r="L483" s="44">
        <f t="shared" si="401"/>
        <v>4.6059999999999999</v>
      </c>
      <c r="M483" s="27">
        <f t="shared" si="402"/>
        <v>193.452</v>
      </c>
      <c r="N483" s="27">
        <f t="shared" si="403"/>
        <v>9105.4519999999993</v>
      </c>
      <c r="O483" s="76"/>
      <c r="P483" s="59"/>
      <c r="Q483" s="59"/>
      <c r="T483" s="61"/>
    </row>
    <row r="484" spans="1:20" s="60" customFormat="1" x14ac:dyDescent="0.3">
      <c r="A484" s="45">
        <f>IF(F484&lt;&gt;"",1+MAX($A$5:A483),"")</f>
        <v>253</v>
      </c>
      <c r="B484" s="91"/>
      <c r="C484" s="38" t="s">
        <v>282</v>
      </c>
      <c r="D484" s="55">
        <v>2</v>
      </c>
      <c r="E484" s="56">
        <v>0</v>
      </c>
      <c r="F484" s="57">
        <f>(1+E484)*D484</f>
        <v>2</v>
      </c>
      <c r="G484" s="58" t="s">
        <v>3</v>
      </c>
      <c r="H484" s="35">
        <v>6344</v>
      </c>
      <c r="I484" s="35">
        <f t="shared" si="399"/>
        <v>12688</v>
      </c>
      <c r="J484" s="43">
        <v>3.948</v>
      </c>
      <c r="K484" s="24">
        <f t="shared" si="400"/>
        <v>42</v>
      </c>
      <c r="L484" s="44">
        <f t="shared" si="401"/>
        <v>7.8959999999999999</v>
      </c>
      <c r="M484" s="27">
        <f t="shared" si="402"/>
        <v>331.63200000000001</v>
      </c>
      <c r="N484" s="27">
        <f t="shared" si="403"/>
        <v>13019.632</v>
      </c>
      <c r="O484" s="76"/>
      <c r="P484" s="59"/>
      <c r="Q484" s="59"/>
      <c r="T484" s="61"/>
    </row>
    <row r="485" spans="1:20" s="60" customFormat="1" x14ac:dyDescent="0.3">
      <c r="A485" s="45" t="str">
        <f>IF(F485&lt;&gt;"",1+MAX($A$5:A484),"")</f>
        <v/>
      </c>
      <c r="B485" s="91"/>
      <c r="C485" s="38"/>
      <c r="D485" s="55"/>
      <c r="E485" s="56"/>
      <c r="F485" s="57"/>
      <c r="G485" s="58"/>
      <c r="H485" s="35"/>
      <c r="I485" s="35"/>
      <c r="J485" s="43"/>
      <c r="K485" s="24"/>
      <c r="L485" s="44"/>
      <c r="M485" s="27"/>
      <c r="N485" s="27"/>
      <c r="O485" s="76"/>
      <c r="P485" s="59"/>
      <c r="Q485" s="59"/>
      <c r="T485" s="61"/>
    </row>
    <row r="486" spans="1:20" s="60" customFormat="1" x14ac:dyDescent="0.3">
      <c r="A486" s="45" t="str">
        <f>IF(F486&lt;&gt;"",1+MAX($A$5:A485),"")</f>
        <v/>
      </c>
      <c r="B486" s="91"/>
      <c r="C486" s="86" t="s">
        <v>281</v>
      </c>
      <c r="D486" s="55"/>
      <c r="E486" s="56"/>
      <c r="F486" s="57"/>
      <c r="G486" s="58"/>
      <c r="H486" s="35"/>
      <c r="I486" s="35"/>
      <c r="J486" s="43"/>
      <c r="K486" s="24"/>
      <c r="L486" s="44"/>
      <c r="M486" s="27"/>
      <c r="N486" s="27"/>
      <c r="O486" s="76"/>
      <c r="P486" s="59"/>
      <c r="Q486" s="59"/>
      <c r="T486" s="61"/>
    </row>
    <row r="487" spans="1:20" s="60" customFormat="1" x14ac:dyDescent="0.3">
      <c r="A487" s="45">
        <f>IF(F487&lt;&gt;"",1+MAX($A$5:A486),"")</f>
        <v>254</v>
      </c>
      <c r="B487" s="91"/>
      <c r="C487" s="38" t="s">
        <v>280</v>
      </c>
      <c r="D487" s="55">
        <v>4</v>
      </c>
      <c r="E487" s="56">
        <v>0</v>
      </c>
      <c r="F487" s="57">
        <f>(1+E487)*D487</f>
        <v>4</v>
      </c>
      <c r="G487" s="58" t="s">
        <v>3</v>
      </c>
      <c r="H487" s="35">
        <v>106.03319999999999</v>
      </c>
      <c r="I487" s="35">
        <f t="shared" ref="I487:I491" si="404">H487*F487</f>
        <v>424.13279999999997</v>
      </c>
      <c r="J487" s="43">
        <v>0.79617999999999989</v>
      </c>
      <c r="K487" s="24">
        <f t="shared" ref="K487:K491" si="405">$N$443</f>
        <v>42</v>
      </c>
      <c r="L487" s="44">
        <f t="shared" ref="L487:L491" si="406">J487*F487</f>
        <v>3.1847199999999996</v>
      </c>
      <c r="M487" s="27">
        <f t="shared" ref="M487:M491" si="407">L487*K487</f>
        <v>133.75823999999997</v>
      </c>
      <c r="N487" s="27">
        <f t="shared" ref="N487:N491" si="408">M487+I487</f>
        <v>557.89103999999998</v>
      </c>
      <c r="O487" s="76"/>
      <c r="P487" s="59"/>
      <c r="Q487" s="59"/>
      <c r="T487" s="61"/>
    </row>
    <row r="488" spans="1:20" s="60" customFormat="1" x14ac:dyDescent="0.3">
      <c r="A488" s="45">
        <f>IF(F488&lt;&gt;"",1+MAX($A$5:A487),"")</f>
        <v>255</v>
      </c>
      <c r="B488" s="91"/>
      <c r="C488" s="38" t="s">
        <v>279</v>
      </c>
      <c r="D488" s="55">
        <v>1</v>
      </c>
      <c r="E488" s="56">
        <v>0</v>
      </c>
      <c r="F488" s="57">
        <f>(1+E488)*D488</f>
        <v>1</v>
      </c>
      <c r="G488" s="58" t="s">
        <v>3</v>
      </c>
      <c r="H488" s="35">
        <v>130.114</v>
      </c>
      <c r="I488" s="35">
        <f t="shared" si="404"/>
        <v>130.114</v>
      </c>
      <c r="J488" s="43">
        <v>0.79617999999999989</v>
      </c>
      <c r="K488" s="24">
        <f t="shared" si="405"/>
        <v>42</v>
      </c>
      <c r="L488" s="44">
        <f t="shared" si="406"/>
        <v>0.79617999999999989</v>
      </c>
      <c r="M488" s="27">
        <f t="shared" si="407"/>
        <v>33.439559999999993</v>
      </c>
      <c r="N488" s="27">
        <f t="shared" si="408"/>
        <v>163.55356</v>
      </c>
      <c r="O488" s="76"/>
      <c r="P488" s="59"/>
      <c r="Q488" s="59"/>
      <c r="T488" s="61"/>
    </row>
    <row r="489" spans="1:20" s="60" customFormat="1" x14ac:dyDescent="0.3">
      <c r="A489" s="45">
        <f>IF(F489&lt;&gt;"",1+MAX($A$5:A488),"")</f>
        <v>256</v>
      </c>
      <c r="B489" s="91"/>
      <c r="C489" s="38" t="s">
        <v>278</v>
      </c>
      <c r="D489" s="55">
        <v>2</v>
      </c>
      <c r="E489" s="56">
        <v>0</v>
      </c>
      <c r="F489" s="57">
        <f>(1+E489)*D489</f>
        <v>2</v>
      </c>
      <c r="G489" s="58" t="s">
        <v>3</v>
      </c>
      <c r="H489" s="35">
        <v>116.52</v>
      </c>
      <c r="I489" s="35">
        <f t="shared" si="404"/>
        <v>233.04</v>
      </c>
      <c r="J489" s="43">
        <v>0.7097</v>
      </c>
      <c r="K489" s="24">
        <f t="shared" si="405"/>
        <v>42</v>
      </c>
      <c r="L489" s="44">
        <f t="shared" si="406"/>
        <v>1.4194</v>
      </c>
      <c r="M489" s="27">
        <f t="shared" si="407"/>
        <v>59.614800000000002</v>
      </c>
      <c r="N489" s="27">
        <f t="shared" si="408"/>
        <v>292.65480000000002</v>
      </c>
      <c r="O489" s="76"/>
      <c r="P489" s="59"/>
      <c r="Q489" s="59"/>
      <c r="T489" s="61"/>
    </row>
    <row r="490" spans="1:20" s="60" customFormat="1" x14ac:dyDescent="0.3">
      <c r="A490" s="45">
        <f>IF(F490&lt;&gt;"",1+MAX($A$5:A489),"")</f>
        <v>257</v>
      </c>
      <c r="B490" s="91"/>
      <c r="C490" s="38" t="s">
        <v>277</v>
      </c>
      <c r="D490" s="55">
        <v>13</v>
      </c>
      <c r="E490" s="56">
        <v>0</v>
      </c>
      <c r="F490" s="57">
        <f>(1+E490)*D490</f>
        <v>13</v>
      </c>
      <c r="G490" s="58" t="s">
        <v>3</v>
      </c>
      <c r="H490" s="35">
        <v>139.2414</v>
      </c>
      <c r="I490" s="35">
        <f t="shared" si="404"/>
        <v>1810.1381999999999</v>
      </c>
      <c r="J490" s="43">
        <v>0.7097</v>
      </c>
      <c r="K490" s="24">
        <f t="shared" si="405"/>
        <v>42</v>
      </c>
      <c r="L490" s="44">
        <f t="shared" si="406"/>
        <v>9.2261000000000006</v>
      </c>
      <c r="M490" s="27">
        <f t="shared" si="407"/>
        <v>387.49620000000004</v>
      </c>
      <c r="N490" s="27">
        <f t="shared" si="408"/>
        <v>2197.6343999999999</v>
      </c>
      <c r="O490" s="76"/>
      <c r="P490" s="59"/>
      <c r="Q490" s="59"/>
      <c r="T490" s="61"/>
    </row>
    <row r="491" spans="1:20" s="60" customFormat="1" x14ac:dyDescent="0.3">
      <c r="A491" s="45">
        <f>IF(F491&lt;&gt;"",1+MAX($A$5:A490),"")</f>
        <v>258</v>
      </c>
      <c r="B491" s="91"/>
      <c r="C491" s="38" t="s">
        <v>276</v>
      </c>
      <c r="D491" s="55">
        <v>7</v>
      </c>
      <c r="E491" s="56">
        <v>0</v>
      </c>
      <c r="F491" s="57">
        <f>(1+E491)*D491</f>
        <v>7</v>
      </c>
      <c r="G491" s="58" t="s">
        <v>3</v>
      </c>
      <c r="H491" s="35">
        <v>85.447999999999993</v>
      </c>
      <c r="I491" s="35">
        <f t="shared" si="404"/>
        <v>598.13599999999997</v>
      </c>
      <c r="J491" s="43">
        <v>0.7097</v>
      </c>
      <c r="K491" s="24">
        <f t="shared" si="405"/>
        <v>42</v>
      </c>
      <c r="L491" s="44">
        <f t="shared" si="406"/>
        <v>4.9679000000000002</v>
      </c>
      <c r="M491" s="27">
        <f t="shared" si="407"/>
        <v>208.65180000000001</v>
      </c>
      <c r="N491" s="27">
        <f t="shared" si="408"/>
        <v>806.78779999999995</v>
      </c>
      <c r="O491" s="76"/>
      <c r="P491" s="59"/>
      <c r="Q491" s="59"/>
      <c r="T491" s="61"/>
    </row>
    <row r="492" spans="1:20" s="60" customFormat="1" x14ac:dyDescent="0.3">
      <c r="A492" s="45" t="str">
        <f>IF(F492&lt;&gt;"",1+MAX($A$5:A491),"")</f>
        <v/>
      </c>
      <c r="B492" s="91"/>
      <c r="C492" s="38"/>
      <c r="D492" s="55"/>
      <c r="E492" s="56"/>
      <c r="F492" s="57"/>
      <c r="G492" s="58"/>
      <c r="H492" s="35"/>
      <c r="I492" s="35"/>
      <c r="J492" s="43"/>
      <c r="K492" s="24"/>
      <c r="L492" s="44"/>
      <c r="M492" s="27"/>
      <c r="N492" s="27"/>
      <c r="O492" s="76"/>
      <c r="P492" s="59"/>
      <c r="Q492" s="59"/>
      <c r="T492" s="61"/>
    </row>
    <row r="493" spans="1:20" s="60" customFormat="1" x14ac:dyDescent="0.3">
      <c r="A493" s="45" t="str">
        <f>IF(F493&lt;&gt;"",1+MAX($A$5:A492),"")</f>
        <v/>
      </c>
      <c r="B493" s="91"/>
      <c r="C493" s="86" t="s">
        <v>275</v>
      </c>
      <c r="D493" s="55"/>
      <c r="E493" s="56"/>
      <c r="F493" s="57"/>
      <c r="G493" s="58"/>
      <c r="H493" s="35"/>
      <c r="I493" s="35"/>
      <c r="J493" s="43"/>
      <c r="K493" s="24"/>
      <c r="L493" s="44"/>
      <c r="M493" s="27"/>
      <c r="N493" s="27"/>
      <c r="O493" s="76"/>
      <c r="P493" s="59"/>
      <c r="Q493" s="59"/>
      <c r="T493" s="61"/>
    </row>
    <row r="494" spans="1:20" s="60" customFormat="1" x14ac:dyDescent="0.3">
      <c r="A494" s="45">
        <f>IF(F494&lt;&gt;"",1+MAX($A$5:A493),"")</f>
        <v>259</v>
      </c>
      <c r="B494" s="91"/>
      <c r="C494" s="38" t="s">
        <v>274</v>
      </c>
      <c r="D494" s="55">
        <v>7</v>
      </c>
      <c r="E494" s="56">
        <v>0</v>
      </c>
      <c r="F494" s="57">
        <f>(1+E494)*D494</f>
        <v>7</v>
      </c>
      <c r="G494" s="58" t="s">
        <v>3</v>
      </c>
      <c r="H494" s="35">
        <v>108.9462</v>
      </c>
      <c r="I494" s="35">
        <f t="shared" ref="I494:I496" si="409">H494*F494</f>
        <v>762.62340000000006</v>
      </c>
      <c r="J494" s="43">
        <v>0.69071199999999999</v>
      </c>
      <c r="K494" s="24">
        <f t="shared" ref="K494:K496" si="410">$N$443</f>
        <v>42</v>
      </c>
      <c r="L494" s="44">
        <f t="shared" ref="L494:L496" si="411">J494*F494</f>
        <v>4.8349840000000004</v>
      </c>
      <c r="M494" s="27">
        <f t="shared" ref="M494:M496" si="412">L494*K494</f>
        <v>203.06932800000001</v>
      </c>
      <c r="N494" s="27">
        <f t="shared" ref="N494:N496" si="413">M494+I494</f>
        <v>965.6927280000001</v>
      </c>
      <c r="O494" s="76"/>
      <c r="P494" s="59"/>
      <c r="Q494" s="59"/>
      <c r="T494" s="61"/>
    </row>
    <row r="495" spans="1:20" s="60" customFormat="1" x14ac:dyDescent="0.3">
      <c r="A495" s="45">
        <f>IF(F495&lt;&gt;"",1+MAX($A$5:A494),"")</f>
        <v>260</v>
      </c>
      <c r="B495" s="91"/>
      <c r="C495" s="38" t="s">
        <v>273</v>
      </c>
      <c r="D495" s="55">
        <v>2</v>
      </c>
      <c r="E495" s="56">
        <v>0</v>
      </c>
      <c r="F495" s="57">
        <f>(1+E495)*D495</f>
        <v>2</v>
      </c>
      <c r="G495" s="58" t="s">
        <v>3</v>
      </c>
      <c r="H495" s="35">
        <v>116.52</v>
      </c>
      <c r="I495" s="35">
        <f t="shared" si="409"/>
        <v>233.04</v>
      </c>
      <c r="J495" s="43">
        <v>0.69071199999999999</v>
      </c>
      <c r="K495" s="24">
        <f t="shared" si="410"/>
        <v>42</v>
      </c>
      <c r="L495" s="44">
        <f t="shared" si="411"/>
        <v>1.381424</v>
      </c>
      <c r="M495" s="27">
        <f t="shared" si="412"/>
        <v>58.019807999999998</v>
      </c>
      <c r="N495" s="27">
        <f t="shared" si="413"/>
        <v>291.05980799999998</v>
      </c>
      <c r="O495" s="76"/>
      <c r="P495" s="59"/>
      <c r="Q495" s="59"/>
      <c r="T495" s="61"/>
    </row>
    <row r="496" spans="1:20" s="60" customFormat="1" x14ac:dyDescent="0.3">
      <c r="A496" s="45">
        <f>IF(F496&lt;&gt;"",1+MAX($A$5:A495),"")</f>
        <v>261</v>
      </c>
      <c r="B496" s="91"/>
      <c r="C496" s="38" t="s">
        <v>272</v>
      </c>
      <c r="D496" s="55">
        <v>10</v>
      </c>
      <c r="E496" s="56">
        <v>0</v>
      </c>
      <c r="F496" s="57">
        <f>(1+E496)*D496</f>
        <v>10</v>
      </c>
      <c r="G496" s="58" t="s">
        <v>3</v>
      </c>
      <c r="H496" s="35">
        <v>151.476</v>
      </c>
      <c r="I496" s="35">
        <f t="shared" si="409"/>
        <v>1514.76</v>
      </c>
      <c r="J496" s="43">
        <v>0.69071199999999999</v>
      </c>
      <c r="K496" s="24">
        <f t="shared" si="410"/>
        <v>42</v>
      </c>
      <c r="L496" s="44">
        <f t="shared" si="411"/>
        <v>6.9071199999999999</v>
      </c>
      <c r="M496" s="27">
        <f t="shared" si="412"/>
        <v>290.09904</v>
      </c>
      <c r="N496" s="27">
        <f t="shared" si="413"/>
        <v>1804.85904</v>
      </c>
      <c r="O496" s="76"/>
      <c r="P496" s="59"/>
      <c r="Q496" s="59"/>
      <c r="T496" s="61"/>
    </row>
    <row r="497" spans="1:20" s="60" customFormat="1" x14ac:dyDescent="0.3">
      <c r="A497" s="45" t="str">
        <f>IF(F497&lt;&gt;"",1+MAX($A$5:A496),"")</f>
        <v/>
      </c>
      <c r="B497" s="91"/>
      <c r="C497" s="38"/>
      <c r="D497" s="55"/>
      <c r="E497" s="56"/>
      <c r="F497" s="57"/>
      <c r="G497" s="58"/>
      <c r="H497" s="35"/>
      <c r="I497" s="35"/>
      <c r="J497" s="43"/>
      <c r="K497" s="24"/>
      <c r="L497" s="44"/>
      <c r="M497" s="27"/>
      <c r="N497" s="27"/>
      <c r="O497" s="76"/>
      <c r="P497" s="59"/>
      <c r="Q497" s="59"/>
      <c r="T497" s="61"/>
    </row>
    <row r="498" spans="1:20" s="60" customFormat="1" x14ac:dyDescent="0.3">
      <c r="A498" s="45" t="str">
        <f>IF(F498&lt;&gt;"",1+MAX($A$5:A497),"")</f>
        <v/>
      </c>
      <c r="B498" s="91"/>
      <c r="C498" s="86" t="s">
        <v>79</v>
      </c>
      <c r="D498" s="55"/>
      <c r="E498" s="56"/>
      <c r="F498" s="57"/>
      <c r="G498" s="58"/>
      <c r="H498" s="35"/>
      <c r="I498" s="35"/>
      <c r="J498" s="43"/>
      <c r="K498" s="24"/>
      <c r="L498" s="44"/>
      <c r="M498" s="27"/>
      <c r="N498" s="27"/>
      <c r="O498" s="76"/>
      <c r="P498" s="59"/>
      <c r="Q498" s="59"/>
      <c r="T498" s="61"/>
    </row>
    <row r="499" spans="1:20" s="60" customFormat="1" x14ac:dyDescent="0.3">
      <c r="A499" s="45">
        <f>IF(F499&lt;&gt;"",1+MAX($A$5:A498),"")</f>
        <v>262</v>
      </c>
      <c r="B499" s="91"/>
      <c r="C499" s="38" t="s">
        <v>271</v>
      </c>
      <c r="D499" s="55">
        <v>2</v>
      </c>
      <c r="E499" s="56">
        <v>0</v>
      </c>
      <c r="F499" s="57">
        <f>(1+E499)*D499</f>
        <v>2</v>
      </c>
      <c r="G499" s="58" t="s">
        <v>3</v>
      </c>
      <c r="H499" s="35">
        <v>72.145299999999992</v>
      </c>
      <c r="I499" s="35">
        <f t="shared" ref="I499" si="414">H499*F499</f>
        <v>144.29059999999998</v>
      </c>
      <c r="J499" s="43">
        <v>0.22935999999999998</v>
      </c>
      <c r="K499" s="24">
        <f>$N$443</f>
        <v>42</v>
      </c>
      <c r="L499" s="44">
        <f t="shared" ref="L499" si="415">J499*F499</f>
        <v>0.45871999999999996</v>
      </c>
      <c r="M499" s="27">
        <f t="shared" ref="M499" si="416">L499*K499</f>
        <v>19.26624</v>
      </c>
      <c r="N499" s="27">
        <f t="shared" ref="N499" si="417">M499+I499</f>
        <v>163.55683999999999</v>
      </c>
      <c r="O499" s="76"/>
      <c r="P499" s="59"/>
      <c r="Q499" s="59"/>
      <c r="T499" s="61"/>
    </row>
    <row r="500" spans="1:20" s="60" customFormat="1" x14ac:dyDescent="0.3">
      <c r="A500" s="45" t="str">
        <f>IF(F500&lt;&gt;"",1+MAX($A$5:A499),"")</f>
        <v/>
      </c>
      <c r="B500" s="91"/>
      <c r="C500" s="38"/>
      <c r="D500" s="55"/>
      <c r="E500" s="56"/>
      <c r="F500" s="57"/>
      <c r="G500" s="58"/>
      <c r="H500" s="35"/>
      <c r="I500" s="35"/>
      <c r="J500" s="43"/>
      <c r="K500" s="24"/>
      <c r="L500" s="44"/>
      <c r="M500" s="27"/>
      <c r="N500" s="27"/>
      <c r="O500" s="76"/>
      <c r="P500" s="59"/>
      <c r="Q500" s="59"/>
      <c r="T500" s="61"/>
    </row>
    <row r="501" spans="1:20" s="60" customFormat="1" x14ac:dyDescent="0.3">
      <c r="A501" s="45" t="str">
        <f>IF(F501&lt;&gt;"",1+MAX($A$5:A500),"")</f>
        <v/>
      </c>
      <c r="B501" s="91"/>
      <c r="C501" s="95" t="s">
        <v>314</v>
      </c>
      <c r="D501" s="55"/>
      <c r="E501" s="56"/>
      <c r="F501" s="57"/>
      <c r="G501" s="58"/>
      <c r="H501" s="35"/>
      <c r="I501" s="35"/>
      <c r="J501" s="43"/>
      <c r="K501" s="24"/>
      <c r="L501" s="44"/>
      <c r="M501" s="27"/>
      <c r="N501" s="27"/>
      <c r="O501" s="76"/>
      <c r="P501" s="59"/>
      <c r="Q501" s="59"/>
      <c r="T501" s="61"/>
    </row>
    <row r="502" spans="1:20" s="60" customFormat="1" x14ac:dyDescent="0.3">
      <c r="A502" s="45" t="str">
        <f>IF(F502&lt;&gt;"",1+MAX($A$5:A501),"")</f>
        <v/>
      </c>
      <c r="B502" s="91"/>
      <c r="C502" s="38"/>
      <c r="D502" s="55"/>
      <c r="E502" s="56"/>
      <c r="F502" s="57"/>
      <c r="G502" s="58"/>
      <c r="H502" s="35"/>
      <c r="I502" s="35"/>
      <c r="J502" s="43"/>
      <c r="K502" s="24"/>
      <c r="L502" s="44"/>
      <c r="M502" s="27"/>
      <c r="N502" s="27"/>
      <c r="O502" s="76"/>
      <c r="P502" s="59"/>
      <c r="Q502" s="59"/>
      <c r="T502" s="61"/>
    </row>
    <row r="503" spans="1:20" s="3" customFormat="1" x14ac:dyDescent="0.25">
      <c r="A503" s="31"/>
      <c r="B503" s="62"/>
      <c r="C503" s="17" t="s">
        <v>42</v>
      </c>
      <c r="D503" s="25"/>
      <c r="E503" s="8"/>
      <c r="F503" s="28"/>
      <c r="G503" s="8"/>
      <c r="H503" s="8"/>
      <c r="I503" s="8"/>
      <c r="J503" s="8"/>
      <c r="K503" s="8"/>
      <c r="L503" s="8"/>
      <c r="M503" s="22"/>
      <c r="N503" s="8"/>
      <c r="O503" s="9">
        <f>SUM(N505:N566)</f>
        <v>71460.521652590003</v>
      </c>
      <c r="P503" s="59"/>
      <c r="Q503" s="2"/>
      <c r="T503" s="16"/>
    </row>
    <row r="504" spans="1:20" s="3" customFormat="1" x14ac:dyDescent="0.25">
      <c r="A504" s="45" t="str">
        <f>IF(F504&lt;&gt;"",1+MAX($A$5:A503),"")</f>
        <v/>
      </c>
      <c r="B504" s="84"/>
      <c r="C504" s="18"/>
      <c r="D504" s="19"/>
      <c r="E504" s="20"/>
      <c r="F504" s="29"/>
      <c r="G504" s="21"/>
      <c r="H504" s="21"/>
      <c r="I504" s="21"/>
      <c r="J504" s="21"/>
      <c r="K504" s="21"/>
      <c r="L504" s="21"/>
      <c r="M504" s="40" t="s">
        <v>21</v>
      </c>
      <c r="N504" s="41">
        <v>42</v>
      </c>
      <c r="O504" s="76"/>
      <c r="P504" s="59"/>
      <c r="Q504" s="2"/>
      <c r="T504" s="16"/>
    </row>
    <row r="505" spans="1:20" s="60" customFormat="1" x14ac:dyDescent="0.3">
      <c r="A505" s="45" t="str">
        <f>IF(F505&lt;&gt;"",1+MAX($A$5:A504),"")</f>
        <v/>
      </c>
      <c r="B505" s="91"/>
      <c r="C505" s="86" t="s">
        <v>35</v>
      </c>
      <c r="D505" s="55"/>
      <c r="E505" s="56"/>
      <c r="F505" s="57"/>
      <c r="G505" s="58"/>
      <c r="H505" s="35"/>
      <c r="I505" s="35"/>
      <c r="J505" s="43"/>
      <c r="K505" s="24"/>
      <c r="L505" s="44"/>
      <c r="M505" s="27"/>
      <c r="N505" s="27"/>
      <c r="O505" s="76"/>
      <c r="P505" s="59"/>
      <c r="Q505" s="59"/>
      <c r="T505" s="61"/>
    </row>
    <row r="506" spans="1:20" s="60" customFormat="1" x14ac:dyDescent="0.3">
      <c r="A506" s="45">
        <f>IF(F506&lt;&gt;"",1+MAX($A$5:A505),"")</f>
        <v>263</v>
      </c>
      <c r="B506" s="91"/>
      <c r="C506" s="38" t="s">
        <v>34</v>
      </c>
      <c r="D506" s="55">
        <v>1699</v>
      </c>
      <c r="E506" s="56">
        <v>0.1</v>
      </c>
      <c r="F506" s="57">
        <f t="shared" ref="F506:F519" si="418">(1+E506)*D506</f>
        <v>1868.9</v>
      </c>
      <c r="G506" s="58" t="s">
        <v>4</v>
      </c>
      <c r="H506" s="35">
        <v>1.3885299999999998</v>
      </c>
      <c r="I506" s="35">
        <f t="shared" ref="I506" si="419">H506*F506</f>
        <v>2595.0237169999996</v>
      </c>
      <c r="J506" s="43">
        <v>4.2769999999999996E-2</v>
      </c>
      <c r="K506" s="24">
        <f>$N$504</f>
        <v>42</v>
      </c>
      <c r="L506" s="44">
        <f t="shared" ref="L506" si="420">J506*F506</f>
        <v>79.932852999999994</v>
      </c>
      <c r="M506" s="27">
        <f t="shared" ref="M506" si="421">L506*K506</f>
        <v>3357.1798259999996</v>
      </c>
      <c r="N506" s="27">
        <f t="shared" ref="N506" si="422">M506+I506</f>
        <v>5952.2035429999996</v>
      </c>
      <c r="O506" s="76"/>
      <c r="P506" s="59"/>
      <c r="Q506" s="59"/>
      <c r="T506" s="61"/>
    </row>
    <row r="507" spans="1:20" s="60" customFormat="1" x14ac:dyDescent="0.3">
      <c r="A507" s="45">
        <f>IF(F507&lt;&gt;"",1+MAX($A$5:A506),"")</f>
        <v>264</v>
      </c>
      <c r="B507" s="91"/>
      <c r="C507" s="92" t="s">
        <v>342</v>
      </c>
      <c r="D507" s="55">
        <f>ROUNDUP(D506*8%,0)</f>
        <v>136</v>
      </c>
      <c r="E507" s="56">
        <v>0</v>
      </c>
      <c r="F507" s="57">
        <f t="shared" si="418"/>
        <v>136</v>
      </c>
      <c r="G507" s="58" t="s">
        <v>3</v>
      </c>
      <c r="H507" s="35"/>
      <c r="I507" s="35"/>
      <c r="J507" s="43"/>
      <c r="K507" s="24"/>
      <c r="L507" s="44"/>
      <c r="M507" s="27"/>
      <c r="N507" s="27"/>
      <c r="O507" s="76"/>
      <c r="P507" s="59"/>
      <c r="Q507" s="59"/>
      <c r="T507" s="61"/>
    </row>
    <row r="508" spans="1:20" s="60" customFormat="1" x14ac:dyDescent="0.3">
      <c r="A508" s="45">
        <f>IF(F508&lt;&gt;"",1+MAX($A$5:A507),"")</f>
        <v>265</v>
      </c>
      <c r="B508" s="91"/>
      <c r="C508" s="92" t="s">
        <v>341</v>
      </c>
      <c r="D508" s="55">
        <f>ROUNDUP(D506/10,0)</f>
        <v>170</v>
      </c>
      <c r="E508" s="56">
        <v>0</v>
      </c>
      <c r="F508" s="57">
        <f t="shared" si="418"/>
        <v>170</v>
      </c>
      <c r="G508" s="58" t="s">
        <v>3</v>
      </c>
      <c r="H508" s="35"/>
      <c r="I508" s="35"/>
      <c r="J508" s="43"/>
      <c r="K508" s="24"/>
      <c r="L508" s="44"/>
      <c r="M508" s="27"/>
      <c r="N508" s="27"/>
      <c r="O508" s="76"/>
      <c r="P508" s="59"/>
      <c r="Q508" s="59"/>
      <c r="T508" s="61"/>
    </row>
    <row r="509" spans="1:20" s="60" customFormat="1" x14ac:dyDescent="0.3">
      <c r="A509" s="45">
        <f>IF(F509&lt;&gt;"",1+MAX($A$5:A508),"")</f>
        <v>266</v>
      </c>
      <c r="B509" s="91"/>
      <c r="C509" s="92" t="s">
        <v>340</v>
      </c>
      <c r="D509" s="55">
        <f>ROUNDUP(D506/9.2,0)+ROUNDUP(D506*4%,0)</f>
        <v>253</v>
      </c>
      <c r="E509" s="56">
        <v>0</v>
      </c>
      <c r="F509" s="57">
        <f t="shared" si="418"/>
        <v>253</v>
      </c>
      <c r="G509" s="58" t="s">
        <v>3</v>
      </c>
      <c r="H509" s="35"/>
      <c r="I509" s="35"/>
      <c r="J509" s="43"/>
      <c r="K509" s="24"/>
      <c r="L509" s="44"/>
      <c r="M509" s="27"/>
      <c r="N509" s="27"/>
      <c r="O509" s="76"/>
      <c r="P509" s="59"/>
      <c r="Q509" s="59"/>
      <c r="T509" s="61"/>
    </row>
    <row r="510" spans="1:20" s="60" customFormat="1" x14ac:dyDescent="0.3">
      <c r="A510" s="45">
        <f>IF(F510&lt;&gt;"",1+MAX($A$5:A509),"")</f>
        <v>267</v>
      </c>
      <c r="B510" s="91"/>
      <c r="C510" s="92" t="s">
        <v>339</v>
      </c>
      <c r="D510" s="55">
        <f>ROUNDUP(D506*1%,0)</f>
        <v>17</v>
      </c>
      <c r="E510" s="56">
        <v>0</v>
      </c>
      <c r="F510" s="57">
        <f t="shared" si="418"/>
        <v>17</v>
      </c>
      <c r="G510" s="58" t="s">
        <v>3</v>
      </c>
      <c r="H510" s="35"/>
      <c r="I510" s="35"/>
      <c r="J510" s="43"/>
      <c r="K510" s="24"/>
      <c r="L510" s="44"/>
      <c r="M510" s="27"/>
      <c r="N510" s="27"/>
      <c r="O510" s="76"/>
      <c r="P510" s="59"/>
      <c r="Q510" s="59"/>
      <c r="T510" s="61"/>
    </row>
    <row r="511" spans="1:20" s="60" customFormat="1" x14ac:dyDescent="0.3">
      <c r="A511" s="45">
        <f>IF(F511&lt;&gt;"",1+MAX($A$5:A510),"")</f>
        <v>268</v>
      </c>
      <c r="B511" s="91"/>
      <c r="C511" s="92" t="s">
        <v>338</v>
      </c>
      <c r="D511" s="55">
        <f>ROUNDUP(D506*1%,0)</f>
        <v>17</v>
      </c>
      <c r="E511" s="56">
        <v>0</v>
      </c>
      <c r="F511" s="57">
        <f t="shared" si="418"/>
        <v>17</v>
      </c>
      <c r="G511" s="58" t="s">
        <v>3</v>
      </c>
      <c r="H511" s="35"/>
      <c r="I511" s="35"/>
      <c r="J511" s="43"/>
      <c r="K511" s="24"/>
      <c r="L511" s="44"/>
      <c r="M511" s="27"/>
      <c r="N511" s="27"/>
      <c r="O511" s="76"/>
      <c r="P511" s="59"/>
      <c r="Q511" s="59"/>
      <c r="T511" s="61"/>
    </row>
    <row r="512" spans="1:20" s="60" customFormat="1" x14ac:dyDescent="0.3">
      <c r="A512" s="45">
        <f>IF(F512&lt;&gt;"",1+MAX($A$5:A511),"")</f>
        <v>269</v>
      </c>
      <c r="B512" s="91"/>
      <c r="C512" s="92" t="s">
        <v>65</v>
      </c>
      <c r="D512" s="55">
        <f>ROUNDUP(D506/9.2,0)+ROUNDUP(D506*9%,0)</f>
        <v>338</v>
      </c>
      <c r="E512" s="56">
        <v>0</v>
      </c>
      <c r="F512" s="57">
        <f t="shared" si="418"/>
        <v>338</v>
      </c>
      <c r="G512" s="58" t="s">
        <v>3</v>
      </c>
      <c r="H512" s="35"/>
      <c r="I512" s="35"/>
      <c r="J512" s="43"/>
      <c r="K512" s="24"/>
      <c r="L512" s="44"/>
      <c r="M512" s="27"/>
      <c r="N512" s="27"/>
      <c r="O512" s="76"/>
      <c r="P512" s="59"/>
      <c r="Q512" s="59"/>
      <c r="T512" s="61"/>
    </row>
    <row r="513" spans="1:20" s="60" customFormat="1" x14ac:dyDescent="0.3">
      <c r="A513" s="45">
        <f>IF(F513&lt;&gt;"",1+MAX($A$5:A512),"")</f>
        <v>270</v>
      </c>
      <c r="B513" s="91"/>
      <c r="C513" s="92" t="s">
        <v>64</v>
      </c>
      <c r="D513" s="55">
        <f>ROUNDUP(D506/9.2,0)+ROUNDUP(D506*9%,0)</f>
        <v>338</v>
      </c>
      <c r="E513" s="56">
        <v>0</v>
      </c>
      <c r="F513" s="57">
        <f t="shared" si="418"/>
        <v>338</v>
      </c>
      <c r="G513" s="58" t="s">
        <v>3</v>
      </c>
      <c r="H513" s="35"/>
      <c r="I513" s="35"/>
      <c r="J513" s="43"/>
      <c r="K513" s="24"/>
      <c r="L513" s="44"/>
      <c r="M513" s="27"/>
      <c r="N513" s="27"/>
      <c r="O513" s="76"/>
      <c r="P513" s="59"/>
      <c r="Q513" s="59"/>
      <c r="T513" s="61"/>
    </row>
    <row r="514" spans="1:20" s="60" customFormat="1" x14ac:dyDescent="0.3">
      <c r="A514" s="45">
        <f>IF(F514&lt;&gt;"",1+MAX($A$5:A513),"")</f>
        <v>271</v>
      </c>
      <c r="B514" s="91"/>
      <c r="C514" s="38" t="s">
        <v>69</v>
      </c>
      <c r="D514" s="55">
        <v>3450</v>
      </c>
      <c r="E514" s="56">
        <v>0.1</v>
      </c>
      <c r="F514" s="57">
        <f t="shared" si="418"/>
        <v>3795.0000000000005</v>
      </c>
      <c r="G514" s="58" t="s">
        <v>4</v>
      </c>
      <c r="H514" s="35">
        <v>1.8157700000000001</v>
      </c>
      <c r="I514" s="35">
        <f t="shared" ref="I514" si="423">H514*F514</f>
        <v>6890.8471500000014</v>
      </c>
      <c r="J514" s="43">
        <v>5.8279999999999998E-2</v>
      </c>
      <c r="K514" s="24">
        <f>$N$504</f>
        <v>42</v>
      </c>
      <c r="L514" s="44">
        <f t="shared" ref="L514" si="424">J514*F514</f>
        <v>221.17260000000002</v>
      </c>
      <c r="M514" s="27">
        <f t="shared" ref="M514" si="425">L514*K514</f>
        <v>9289.2492000000002</v>
      </c>
      <c r="N514" s="27">
        <f t="shared" ref="N514" si="426">M514+I514</f>
        <v>16180.096350000002</v>
      </c>
      <c r="O514" s="76"/>
      <c r="P514" s="59"/>
      <c r="Q514" s="59"/>
      <c r="T514" s="61"/>
    </row>
    <row r="515" spans="1:20" s="60" customFormat="1" x14ac:dyDescent="0.3">
      <c r="A515" s="45">
        <f>IF(F515&lt;&gt;"",1+MAX($A$5:A514),"")</f>
        <v>272</v>
      </c>
      <c r="B515" s="91"/>
      <c r="C515" s="92" t="s">
        <v>68</v>
      </c>
      <c r="D515" s="55">
        <f>ROUNDUP(D514*8%,0)</f>
        <v>276</v>
      </c>
      <c r="E515" s="56">
        <v>0</v>
      </c>
      <c r="F515" s="57">
        <f t="shared" si="418"/>
        <v>276</v>
      </c>
      <c r="G515" s="58" t="s">
        <v>3</v>
      </c>
      <c r="H515" s="35"/>
      <c r="I515" s="35"/>
      <c r="J515" s="43"/>
      <c r="K515" s="24"/>
      <c r="L515" s="44"/>
      <c r="M515" s="27"/>
      <c r="N515" s="27"/>
      <c r="O515" s="76"/>
      <c r="P515" s="59"/>
      <c r="Q515" s="59"/>
      <c r="T515" s="61"/>
    </row>
    <row r="516" spans="1:20" s="60" customFormat="1" x14ac:dyDescent="0.3">
      <c r="A516" s="45">
        <f>IF(F516&lt;&gt;"",1+MAX($A$5:A515),"")</f>
        <v>273</v>
      </c>
      <c r="B516" s="91"/>
      <c r="C516" s="92" t="s">
        <v>67</v>
      </c>
      <c r="D516" s="55">
        <f>ROUNDUP(D514/10,0)</f>
        <v>345</v>
      </c>
      <c r="E516" s="56">
        <v>0</v>
      </c>
      <c r="F516" s="57">
        <f t="shared" si="418"/>
        <v>345</v>
      </c>
      <c r="G516" s="58" t="s">
        <v>3</v>
      </c>
      <c r="H516" s="35"/>
      <c r="I516" s="35"/>
      <c r="J516" s="43"/>
      <c r="K516" s="24"/>
      <c r="L516" s="44"/>
      <c r="M516" s="27"/>
      <c r="N516" s="27"/>
      <c r="O516" s="76"/>
      <c r="P516" s="59"/>
      <c r="Q516" s="59"/>
      <c r="T516" s="61"/>
    </row>
    <row r="517" spans="1:20" s="60" customFormat="1" x14ac:dyDescent="0.3">
      <c r="A517" s="45">
        <f>IF(F517&lt;&gt;"",1+MAX($A$5:A516),"")</f>
        <v>274</v>
      </c>
      <c r="B517" s="91"/>
      <c r="C517" s="92" t="s">
        <v>66</v>
      </c>
      <c r="D517" s="55">
        <f>ROUNDUP(D514/9.2,0)+ROUNDUP(D514*4%,0)</f>
        <v>513</v>
      </c>
      <c r="E517" s="56">
        <v>0</v>
      </c>
      <c r="F517" s="57">
        <f t="shared" si="418"/>
        <v>513</v>
      </c>
      <c r="G517" s="58" t="s">
        <v>3</v>
      </c>
      <c r="H517" s="35"/>
      <c r="I517" s="35"/>
      <c r="J517" s="43"/>
      <c r="K517" s="24"/>
      <c r="L517" s="44"/>
      <c r="M517" s="27"/>
      <c r="N517" s="27"/>
      <c r="O517" s="76"/>
      <c r="P517" s="59"/>
      <c r="Q517" s="59"/>
      <c r="T517" s="61"/>
    </row>
    <row r="518" spans="1:20" s="60" customFormat="1" x14ac:dyDescent="0.3">
      <c r="A518" s="45">
        <f>IF(F518&lt;&gt;"",1+MAX($A$5:A517),"")</f>
        <v>275</v>
      </c>
      <c r="B518" s="91"/>
      <c r="C518" s="92" t="s">
        <v>65</v>
      </c>
      <c r="D518" s="55">
        <f>ROUNDUP(D514/9.2,0)+ROUNDUP(D514*9%,0)</f>
        <v>686</v>
      </c>
      <c r="E518" s="56">
        <v>0</v>
      </c>
      <c r="F518" s="57">
        <f t="shared" si="418"/>
        <v>686</v>
      </c>
      <c r="G518" s="58" t="s">
        <v>3</v>
      </c>
      <c r="H518" s="35"/>
      <c r="I518" s="35"/>
      <c r="J518" s="43"/>
      <c r="K518" s="24"/>
      <c r="L518" s="44"/>
      <c r="M518" s="27"/>
      <c r="N518" s="27"/>
      <c r="O518" s="76"/>
      <c r="P518" s="59"/>
      <c r="Q518" s="59"/>
      <c r="T518" s="61"/>
    </row>
    <row r="519" spans="1:20" s="60" customFormat="1" x14ac:dyDescent="0.3">
      <c r="A519" s="45">
        <f>IF(F519&lt;&gt;"",1+MAX($A$5:A518),"")</f>
        <v>276</v>
      </c>
      <c r="B519" s="91"/>
      <c r="C519" s="92" t="s">
        <v>64</v>
      </c>
      <c r="D519" s="55">
        <f>ROUNDUP(D514/9.2,0)+ROUNDUP(D514*9%,0)</f>
        <v>686</v>
      </c>
      <c r="E519" s="56">
        <v>0</v>
      </c>
      <c r="F519" s="57">
        <f t="shared" si="418"/>
        <v>686</v>
      </c>
      <c r="G519" s="58" t="s">
        <v>3</v>
      </c>
      <c r="H519" s="35"/>
      <c r="I519" s="35"/>
      <c r="J519" s="43"/>
      <c r="K519" s="24"/>
      <c r="L519" s="44"/>
      <c r="M519" s="27"/>
      <c r="N519" s="27"/>
      <c r="O519" s="76"/>
      <c r="P519" s="59"/>
      <c r="Q519" s="59"/>
      <c r="T519" s="61"/>
    </row>
    <row r="520" spans="1:20" s="60" customFormat="1" x14ac:dyDescent="0.3">
      <c r="A520" s="45" t="str">
        <f>IF(F520&lt;&gt;"",1+MAX($A$5:A519),"")</f>
        <v/>
      </c>
      <c r="B520" s="91"/>
      <c r="C520" s="38"/>
      <c r="D520" s="55"/>
      <c r="E520" s="56"/>
      <c r="F520" s="57"/>
      <c r="G520" s="58"/>
      <c r="H520" s="35"/>
      <c r="I520" s="35"/>
      <c r="J520" s="43"/>
      <c r="K520" s="24"/>
      <c r="L520" s="44"/>
      <c r="M520" s="27"/>
      <c r="N520" s="27"/>
      <c r="O520" s="76"/>
      <c r="P520" s="59"/>
      <c r="Q520" s="59"/>
      <c r="T520" s="61"/>
    </row>
    <row r="521" spans="1:20" s="60" customFormat="1" x14ac:dyDescent="0.3">
      <c r="A521" s="45" t="str">
        <f>IF(F521&lt;&gt;"",1+MAX($A$5:A520),"")</f>
        <v/>
      </c>
      <c r="B521" s="91"/>
      <c r="C521" s="86" t="s">
        <v>33</v>
      </c>
      <c r="D521" s="55"/>
      <c r="E521" s="56"/>
      <c r="F521" s="57"/>
      <c r="G521" s="58"/>
      <c r="H521" s="35"/>
      <c r="I521" s="35"/>
      <c r="J521" s="43"/>
      <c r="K521" s="24"/>
      <c r="L521" s="44"/>
      <c r="M521" s="27"/>
      <c r="N521" s="27"/>
      <c r="O521" s="76"/>
      <c r="P521" s="59"/>
      <c r="Q521" s="59"/>
      <c r="T521" s="61"/>
    </row>
    <row r="522" spans="1:20" s="60" customFormat="1" x14ac:dyDescent="0.3">
      <c r="A522" s="45">
        <f>IF(F522&lt;&gt;"",1+MAX($A$5:A521),"")</f>
        <v>277</v>
      </c>
      <c r="B522" s="91"/>
      <c r="C522" s="38" t="s">
        <v>337</v>
      </c>
      <c r="D522" s="55">
        <v>1006.49</v>
      </c>
      <c r="E522" s="56">
        <v>0.1</v>
      </c>
      <c r="F522" s="57">
        <f>(1+E522)*D522</f>
        <v>1107.1390000000001</v>
      </c>
      <c r="G522" s="58" t="s">
        <v>4</v>
      </c>
      <c r="H522" s="35">
        <v>0.41752999999999996</v>
      </c>
      <c r="I522" s="35">
        <f t="shared" ref="I522:I526" si="427">H522*F522</f>
        <v>462.26374666999999</v>
      </c>
      <c r="J522" s="43">
        <v>1.8800000000000001E-2</v>
      </c>
      <c r="K522" s="24">
        <f t="shared" ref="K522:K526" si="428">$N$504</f>
        <v>42</v>
      </c>
      <c r="L522" s="44">
        <f t="shared" ref="L522:L526" si="429">J522*F522</f>
        <v>20.814213200000005</v>
      </c>
      <c r="M522" s="27">
        <f t="shared" ref="M522:M526" si="430">L522*K522</f>
        <v>874.19695440000021</v>
      </c>
      <c r="N522" s="27">
        <f t="shared" ref="N522:N526" si="431">M522+I522</f>
        <v>1336.4607010700001</v>
      </c>
      <c r="O522" s="76"/>
      <c r="P522" s="59"/>
      <c r="Q522" s="59"/>
      <c r="T522" s="61"/>
    </row>
    <row r="523" spans="1:20" s="60" customFormat="1" x14ac:dyDescent="0.3">
      <c r="A523" s="45">
        <f>IF(F523&lt;&gt;"",1+MAX($A$5:A522),"")</f>
        <v>278</v>
      </c>
      <c r="B523" s="91"/>
      <c r="C523" s="38" t="s">
        <v>336</v>
      </c>
      <c r="D523" s="55">
        <v>693</v>
      </c>
      <c r="E523" s="56">
        <v>0.1</v>
      </c>
      <c r="F523" s="57">
        <f>(1+E523)*D523</f>
        <v>762.30000000000007</v>
      </c>
      <c r="G523" s="58" t="s">
        <v>4</v>
      </c>
      <c r="H523" s="35">
        <v>0.41752999999999996</v>
      </c>
      <c r="I523" s="35">
        <f t="shared" si="427"/>
        <v>318.283119</v>
      </c>
      <c r="J523" s="43">
        <v>1.8800000000000001E-2</v>
      </c>
      <c r="K523" s="24">
        <f t="shared" si="428"/>
        <v>42</v>
      </c>
      <c r="L523" s="44">
        <f t="shared" si="429"/>
        <v>14.331240000000001</v>
      </c>
      <c r="M523" s="27">
        <f t="shared" si="430"/>
        <v>601.91208000000006</v>
      </c>
      <c r="N523" s="27">
        <f t="shared" si="431"/>
        <v>920.195199</v>
      </c>
      <c r="O523" s="76"/>
      <c r="P523" s="59"/>
      <c r="Q523" s="59"/>
      <c r="T523" s="61"/>
    </row>
    <row r="524" spans="1:20" s="60" customFormat="1" x14ac:dyDescent="0.3">
      <c r="A524" s="45">
        <f>IF(F524&lt;&gt;"",1+MAX($A$5:A523),"")</f>
        <v>279</v>
      </c>
      <c r="B524" s="91"/>
      <c r="C524" s="38" t="s">
        <v>335</v>
      </c>
      <c r="D524" s="55">
        <v>1942</v>
      </c>
      <c r="E524" s="56">
        <v>0.1</v>
      </c>
      <c r="F524" s="57">
        <f>(1+E524)*D524</f>
        <v>2136.2000000000003</v>
      </c>
      <c r="G524" s="58" t="s">
        <v>4</v>
      </c>
      <c r="H524" s="35">
        <v>0.66027999999999998</v>
      </c>
      <c r="I524" s="35">
        <f t="shared" si="427"/>
        <v>1410.4901360000001</v>
      </c>
      <c r="J524" s="43">
        <v>2.8199999999999996E-2</v>
      </c>
      <c r="K524" s="24">
        <f t="shared" si="428"/>
        <v>42</v>
      </c>
      <c r="L524" s="44">
        <f t="shared" si="429"/>
        <v>60.240839999999999</v>
      </c>
      <c r="M524" s="27">
        <f t="shared" si="430"/>
        <v>2530.11528</v>
      </c>
      <c r="N524" s="27">
        <f t="shared" si="431"/>
        <v>3940.6054160000003</v>
      </c>
      <c r="O524" s="76"/>
      <c r="P524" s="59"/>
      <c r="Q524" s="59"/>
      <c r="T524" s="61"/>
    </row>
    <row r="525" spans="1:20" s="60" customFormat="1" x14ac:dyDescent="0.3">
      <c r="A525" s="45">
        <f>IF(F525&lt;&gt;"",1+MAX($A$5:A524),"")</f>
        <v>280</v>
      </c>
      <c r="B525" s="91"/>
      <c r="C525" s="38" t="s">
        <v>334</v>
      </c>
      <c r="D525" s="55">
        <v>103.49</v>
      </c>
      <c r="E525" s="56">
        <v>0.1</v>
      </c>
      <c r="F525" s="57">
        <f>(1+E525)*D525</f>
        <v>113.839</v>
      </c>
      <c r="G525" s="58" t="s">
        <v>4</v>
      </c>
      <c r="H525" s="35">
        <v>0.66027999999999998</v>
      </c>
      <c r="I525" s="35">
        <f t="shared" si="427"/>
        <v>75.165614919999996</v>
      </c>
      <c r="J525" s="43">
        <v>2.8199999999999996E-2</v>
      </c>
      <c r="K525" s="24">
        <f t="shared" si="428"/>
        <v>42</v>
      </c>
      <c r="L525" s="44">
        <f t="shared" si="429"/>
        <v>3.2102597999999993</v>
      </c>
      <c r="M525" s="27">
        <f t="shared" si="430"/>
        <v>134.83091159999998</v>
      </c>
      <c r="N525" s="27">
        <f t="shared" si="431"/>
        <v>209.99652651999997</v>
      </c>
      <c r="O525" s="76"/>
      <c r="P525" s="59"/>
      <c r="Q525" s="59"/>
      <c r="T525" s="61"/>
    </row>
    <row r="526" spans="1:20" s="60" customFormat="1" x14ac:dyDescent="0.3">
      <c r="A526" s="45">
        <f>IF(F526&lt;&gt;"",1+MAX($A$5:A525),"")</f>
        <v>281</v>
      </c>
      <c r="B526" s="91"/>
      <c r="C526" s="38" t="s">
        <v>43</v>
      </c>
      <c r="D526" s="55">
        <v>1405</v>
      </c>
      <c r="E526" s="56">
        <v>0.1</v>
      </c>
      <c r="F526" s="57">
        <f>(1+E526)*D526</f>
        <v>1545.5000000000002</v>
      </c>
      <c r="G526" s="58" t="s">
        <v>4</v>
      </c>
      <c r="H526" s="35">
        <v>0.66027999999999998</v>
      </c>
      <c r="I526" s="35">
        <f t="shared" si="427"/>
        <v>1020.4627400000002</v>
      </c>
      <c r="J526" s="43">
        <v>2.8199999999999996E-2</v>
      </c>
      <c r="K526" s="24">
        <f t="shared" si="428"/>
        <v>42</v>
      </c>
      <c r="L526" s="44">
        <f t="shared" si="429"/>
        <v>43.583100000000002</v>
      </c>
      <c r="M526" s="27">
        <f t="shared" si="430"/>
        <v>1830.4902000000002</v>
      </c>
      <c r="N526" s="27">
        <f t="shared" si="431"/>
        <v>2850.9529400000001</v>
      </c>
      <c r="O526" s="76"/>
      <c r="P526" s="59"/>
      <c r="Q526" s="59"/>
      <c r="T526" s="61"/>
    </row>
    <row r="527" spans="1:20" s="60" customFormat="1" x14ac:dyDescent="0.3">
      <c r="A527" s="45" t="str">
        <f>IF(F527&lt;&gt;"",1+MAX($A$5:A526),"")</f>
        <v/>
      </c>
      <c r="B527" s="91"/>
      <c r="C527" s="38"/>
      <c r="D527" s="55"/>
      <c r="E527" s="56"/>
      <c r="F527" s="57"/>
      <c r="G527" s="58"/>
      <c r="H527" s="35"/>
      <c r="I527" s="35"/>
      <c r="J527" s="43"/>
      <c r="K527" s="24"/>
      <c r="L527" s="44"/>
      <c r="M527" s="27"/>
      <c r="N527" s="27"/>
      <c r="O527" s="76"/>
      <c r="P527" s="59"/>
      <c r="Q527" s="59"/>
      <c r="T527" s="61"/>
    </row>
    <row r="528" spans="1:20" s="60" customFormat="1" x14ac:dyDescent="0.3">
      <c r="A528" s="45" t="str">
        <f>IF(F528&lt;&gt;"",1+MAX($A$5:A527),"")</f>
        <v/>
      </c>
      <c r="B528" s="91"/>
      <c r="C528" s="86" t="s">
        <v>333</v>
      </c>
      <c r="D528" s="55"/>
      <c r="E528" s="56"/>
      <c r="F528" s="57"/>
      <c r="G528" s="58"/>
      <c r="H528" s="35"/>
      <c r="I528" s="35"/>
      <c r="J528" s="43"/>
      <c r="K528" s="24"/>
      <c r="L528" s="44"/>
      <c r="M528" s="27"/>
      <c r="N528" s="27"/>
      <c r="O528" s="76"/>
      <c r="P528" s="59"/>
      <c r="Q528" s="59"/>
      <c r="T528" s="61"/>
    </row>
    <row r="529" spans="1:20" s="60" customFormat="1" x14ac:dyDescent="0.3">
      <c r="A529" s="45">
        <f>IF(F529&lt;&gt;"",1+MAX($A$5:A528),"")</f>
        <v>282</v>
      </c>
      <c r="B529" s="91"/>
      <c r="C529" s="38" t="s">
        <v>32</v>
      </c>
      <c r="D529" s="55">
        <v>7</v>
      </c>
      <c r="E529" s="56">
        <v>0</v>
      </c>
      <c r="F529" s="57">
        <f>(1+E529)*D529</f>
        <v>7</v>
      </c>
      <c r="G529" s="58" t="s">
        <v>3</v>
      </c>
      <c r="H529" s="35">
        <v>8.6321899999999996</v>
      </c>
      <c r="I529" s="35">
        <f t="shared" ref="I529:I533" si="432">H529*F529</f>
        <v>60.425329999999995</v>
      </c>
      <c r="J529" s="43">
        <v>0.50760000000000005</v>
      </c>
      <c r="K529" s="24">
        <f t="shared" ref="K529:K533" si="433">$N$504</f>
        <v>42</v>
      </c>
      <c r="L529" s="44">
        <f t="shared" ref="L529:L533" si="434">J529*F529</f>
        <v>3.5532000000000004</v>
      </c>
      <c r="M529" s="27">
        <f t="shared" ref="M529:M533" si="435">L529*K529</f>
        <v>149.23440000000002</v>
      </c>
      <c r="N529" s="27">
        <f t="shared" ref="N529:N533" si="436">M529+I529</f>
        <v>209.65973000000002</v>
      </c>
      <c r="O529" s="76"/>
      <c r="P529" s="59"/>
      <c r="Q529" s="59"/>
      <c r="T529" s="61"/>
    </row>
    <row r="530" spans="1:20" s="60" customFormat="1" x14ac:dyDescent="0.3">
      <c r="A530" s="45">
        <f>IF(F530&lt;&gt;"",1+MAX($A$5:A529),"")</f>
        <v>283</v>
      </c>
      <c r="B530" s="91"/>
      <c r="C530" s="38" t="s">
        <v>332</v>
      </c>
      <c r="D530" s="55">
        <v>53</v>
      </c>
      <c r="E530" s="56">
        <v>0</v>
      </c>
      <c r="F530" s="57">
        <f>(1+E530)*D530</f>
        <v>53</v>
      </c>
      <c r="G530" s="58" t="s">
        <v>3</v>
      </c>
      <c r="H530" s="35">
        <v>13.367756999999999</v>
      </c>
      <c r="I530" s="35">
        <f t="shared" si="432"/>
        <v>708.49112099999991</v>
      </c>
      <c r="J530" s="43">
        <v>0.50760000000000005</v>
      </c>
      <c r="K530" s="24">
        <f t="shared" si="433"/>
        <v>42</v>
      </c>
      <c r="L530" s="44">
        <f t="shared" si="434"/>
        <v>26.902800000000003</v>
      </c>
      <c r="M530" s="27">
        <f t="shared" si="435"/>
        <v>1129.9176000000002</v>
      </c>
      <c r="N530" s="27">
        <f t="shared" si="436"/>
        <v>1838.4087210000002</v>
      </c>
      <c r="O530" s="76"/>
      <c r="P530" s="59"/>
      <c r="Q530" s="59"/>
      <c r="T530" s="61"/>
    </row>
    <row r="531" spans="1:20" s="60" customFormat="1" x14ac:dyDescent="0.3">
      <c r="A531" s="45">
        <f>IF(F531&lt;&gt;"",1+MAX($A$5:A530),"")</f>
        <v>284</v>
      </c>
      <c r="B531" s="91"/>
      <c r="C531" s="38" t="s">
        <v>81</v>
      </c>
      <c r="D531" s="55">
        <v>26</v>
      </c>
      <c r="E531" s="56">
        <v>0</v>
      </c>
      <c r="F531" s="57">
        <f>(1+E531)*D531</f>
        <v>26</v>
      </c>
      <c r="G531" s="58" t="s">
        <v>3</v>
      </c>
      <c r="H531" s="35">
        <v>13.367756999999999</v>
      </c>
      <c r="I531" s="35">
        <f t="shared" si="432"/>
        <v>347.56168199999996</v>
      </c>
      <c r="J531" s="43">
        <v>0.50760000000000005</v>
      </c>
      <c r="K531" s="24">
        <f t="shared" si="433"/>
        <v>42</v>
      </c>
      <c r="L531" s="44">
        <f t="shared" si="434"/>
        <v>13.197600000000001</v>
      </c>
      <c r="M531" s="27">
        <f t="shared" si="435"/>
        <v>554.29920000000004</v>
      </c>
      <c r="N531" s="27">
        <f t="shared" si="436"/>
        <v>901.86088199999995</v>
      </c>
      <c r="O531" s="76"/>
      <c r="P531" s="59"/>
      <c r="Q531" s="59"/>
      <c r="T531" s="61"/>
    </row>
    <row r="532" spans="1:20" s="60" customFormat="1" x14ac:dyDescent="0.3">
      <c r="A532" s="45">
        <f>IF(F532&lt;&gt;"",1+MAX($A$5:A531),"")</f>
        <v>285</v>
      </c>
      <c r="B532" s="91"/>
      <c r="C532" s="38" t="s">
        <v>130</v>
      </c>
      <c r="D532" s="55">
        <v>12</v>
      </c>
      <c r="E532" s="56">
        <v>0</v>
      </c>
      <c r="F532" s="57">
        <f>(1+E532)*D532</f>
        <v>12</v>
      </c>
      <c r="G532" s="58" t="s">
        <v>3</v>
      </c>
      <c r="H532" s="35">
        <v>13.367756999999999</v>
      </c>
      <c r="I532" s="35">
        <f t="shared" si="432"/>
        <v>160.413084</v>
      </c>
      <c r="J532" s="43">
        <v>0.50760000000000005</v>
      </c>
      <c r="K532" s="24">
        <f t="shared" si="433"/>
        <v>42</v>
      </c>
      <c r="L532" s="44">
        <f t="shared" si="434"/>
        <v>6.0912000000000006</v>
      </c>
      <c r="M532" s="27">
        <f t="shared" si="435"/>
        <v>255.83040000000003</v>
      </c>
      <c r="N532" s="27">
        <f t="shared" si="436"/>
        <v>416.24348400000002</v>
      </c>
      <c r="O532" s="76"/>
      <c r="P532" s="59"/>
      <c r="Q532" s="59"/>
      <c r="T532" s="61"/>
    </row>
    <row r="533" spans="1:20" s="60" customFormat="1" x14ac:dyDescent="0.3">
      <c r="A533" s="45">
        <f>IF(F533&lt;&gt;"",1+MAX($A$5:A532),"")</f>
        <v>286</v>
      </c>
      <c r="B533" s="91"/>
      <c r="C533" s="38" t="s">
        <v>331</v>
      </c>
      <c r="D533" s="55">
        <v>1</v>
      </c>
      <c r="E533" s="56">
        <v>0</v>
      </c>
      <c r="F533" s="57">
        <f>(1+E533)*D533</f>
        <v>1</v>
      </c>
      <c r="G533" s="58" t="s">
        <v>3</v>
      </c>
      <c r="H533" s="35">
        <v>23.7895</v>
      </c>
      <c r="I533" s="35">
        <f t="shared" si="432"/>
        <v>23.7895</v>
      </c>
      <c r="J533" s="43">
        <v>0.63732</v>
      </c>
      <c r="K533" s="24">
        <f t="shared" si="433"/>
        <v>42</v>
      </c>
      <c r="L533" s="44">
        <f t="shared" si="434"/>
        <v>0.63732</v>
      </c>
      <c r="M533" s="27">
        <f t="shared" si="435"/>
        <v>26.767440000000001</v>
      </c>
      <c r="N533" s="27">
        <f t="shared" si="436"/>
        <v>50.556939999999997</v>
      </c>
      <c r="O533" s="76"/>
      <c r="P533" s="59"/>
      <c r="Q533" s="59"/>
      <c r="T533" s="61"/>
    </row>
    <row r="534" spans="1:20" s="60" customFormat="1" x14ac:dyDescent="0.3">
      <c r="A534" s="45" t="str">
        <f>IF(F534&lt;&gt;"",1+MAX($A$5:A533),"")</f>
        <v/>
      </c>
      <c r="B534" s="91"/>
      <c r="C534" s="38"/>
      <c r="D534" s="55"/>
      <c r="E534" s="56"/>
      <c r="F534" s="57"/>
      <c r="G534" s="58"/>
      <c r="H534" s="35"/>
      <c r="I534" s="35"/>
      <c r="J534" s="43"/>
      <c r="K534" s="24"/>
      <c r="L534" s="44"/>
      <c r="M534" s="27"/>
      <c r="N534" s="27"/>
      <c r="O534" s="76"/>
      <c r="P534" s="59"/>
      <c r="Q534" s="59"/>
      <c r="T534" s="61"/>
    </row>
    <row r="535" spans="1:20" s="60" customFormat="1" x14ac:dyDescent="0.3">
      <c r="A535" s="45" t="str">
        <f>IF(F535&lt;&gt;"",1+MAX($A$5:A534),"")</f>
        <v/>
      </c>
      <c r="B535" s="91"/>
      <c r="C535" s="86" t="s">
        <v>330</v>
      </c>
      <c r="D535" s="55"/>
      <c r="E535" s="56"/>
      <c r="F535" s="57"/>
      <c r="G535" s="58"/>
      <c r="H535" s="35"/>
      <c r="I535" s="35"/>
      <c r="J535" s="43"/>
      <c r="K535" s="24"/>
      <c r="L535" s="44"/>
      <c r="M535" s="27"/>
      <c r="N535" s="27"/>
      <c r="O535" s="76"/>
      <c r="P535" s="59"/>
      <c r="Q535" s="59"/>
      <c r="T535" s="61"/>
    </row>
    <row r="536" spans="1:20" s="60" customFormat="1" x14ac:dyDescent="0.3">
      <c r="A536" s="45">
        <f>IF(F536&lt;&gt;"",1+MAX($A$5:A535),"")</f>
        <v>287</v>
      </c>
      <c r="B536" s="91"/>
      <c r="C536" s="38" t="s">
        <v>329</v>
      </c>
      <c r="D536" s="55">
        <v>3</v>
      </c>
      <c r="E536" s="56">
        <v>0</v>
      </c>
      <c r="F536" s="57">
        <f t="shared" ref="F536:F544" si="437">(1+E536)*D536</f>
        <v>3</v>
      </c>
      <c r="G536" s="58" t="s">
        <v>3</v>
      </c>
      <c r="H536" s="35">
        <v>505.89099999999996</v>
      </c>
      <c r="I536" s="35">
        <f t="shared" ref="I536:I544" si="438">H536*F536</f>
        <v>1517.6729999999998</v>
      </c>
      <c r="J536" s="43">
        <v>3.76</v>
      </c>
      <c r="K536" s="24">
        <f t="shared" ref="K536:K544" si="439">$N$504</f>
        <v>42</v>
      </c>
      <c r="L536" s="44">
        <f t="shared" ref="L536:L544" si="440">J536*F536</f>
        <v>11.28</v>
      </c>
      <c r="M536" s="27">
        <f t="shared" ref="M536:M544" si="441">L536*K536</f>
        <v>473.76</v>
      </c>
      <c r="N536" s="27">
        <f t="shared" ref="N536:N544" si="442">M536+I536</f>
        <v>1991.4329999999998</v>
      </c>
      <c r="O536" s="76"/>
      <c r="P536" s="59"/>
      <c r="Q536" s="59"/>
      <c r="T536" s="61"/>
    </row>
    <row r="537" spans="1:20" s="60" customFormat="1" x14ac:dyDescent="0.3">
      <c r="A537" s="45">
        <f>IF(F537&lt;&gt;"",1+MAX($A$5:A536),"")</f>
        <v>288</v>
      </c>
      <c r="B537" s="91"/>
      <c r="C537" s="38" t="s">
        <v>328</v>
      </c>
      <c r="D537" s="55">
        <v>3</v>
      </c>
      <c r="E537" s="56">
        <v>0</v>
      </c>
      <c r="F537" s="57">
        <f t="shared" si="437"/>
        <v>3</v>
      </c>
      <c r="G537" s="58" t="s">
        <v>3</v>
      </c>
      <c r="H537" s="35">
        <v>227.60239999999999</v>
      </c>
      <c r="I537" s="35">
        <f t="shared" si="438"/>
        <v>682.80719999999997</v>
      </c>
      <c r="J537" s="43">
        <v>1.88</v>
      </c>
      <c r="K537" s="24">
        <f t="shared" si="439"/>
        <v>42</v>
      </c>
      <c r="L537" s="44">
        <f t="shared" si="440"/>
        <v>5.64</v>
      </c>
      <c r="M537" s="27">
        <f t="shared" si="441"/>
        <v>236.88</v>
      </c>
      <c r="N537" s="27">
        <f t="shared" si="442"/>
        <v>919.68719999999996</v>
      </c>
      <c r="O537" s="76"/>
      <c r="P537" s="59"/>
      <c r="Q537" s="59"/>
      <c r="T537" s="61"/>
    </row>
    <row r="538" spans="1:20" s="60" customFormat="1" x14ac:dyDescent="0.3">
      <c r="A538" s="45">
        <f>IF(F538&lt;&gt;"",1+MAX($A$5:A537),"")</f>
        <v>289</v>
      </c>
      <c r="B538" s="91"/>
      <c r="C538" s="38" t="s">
        <v>327</v>
      </c>
      <c r="D538" s="55">
        <v>61</v>
      </c>
      <c r="E538" s="56">
        <v>0</v>
      </c>
      <c r="F538" s="57">
        <f t="shared" si="437"/>
        <v>61</v>
      </c>
      <c r="G538" s="58" t="s">
        <v>3</v>
      </c>
      <c r="H538" s="35">
        <v>168.95400000000001</v>
      </c>
      <c r="I538" s="35">
        <f t="shared" si="438"/>
        <v>10306.194000000001</v>
      </c>
      <c r="J538" s="43">
        <v>1.3159999999999998</v>
      </c>
      <c r="K538" s="24">
        <f t="shared" si="439"/>
        <v>42</v>
      </c>
      <c r="L538" s="44">
        <f t="shared" si="440"/>
        <v>80.275999999999996</v>
      </c>
      <c r="M538" s="27">
        <f t="shared" si="441"/>
        <v>3371.5919999999996</v>
      </c>
      <c r="N538" s="27">
        <f t="shared" si="442"/>
        <v>13677.786</v>
      </c>
      <c r="O538" s="76"/>
      <c r="P538" s="59"/>
      <c r="Q538" s="59"/>
      <c r="T538" s="61"/>
    </row>
    <row r="539" spans="1:20" s="60" customFormat="1" x14ac:dyDescent="0.3">
      <c r="A539" s="45">
        <f>IF(F539&lt;&gt;"",1+MAX($A$5:A538),"")</f>
        <v>290</v>
      </c>
      <c r="B539" s="91"/>
      <c r="C539" s="38" t="s">
        <v>326</v>
      </c>
      <c r="D539" s="55">
        <v>12</v>
      </c>
      <c r="E539" s="56">
        <v>0</v>
      </c>
      <c r="F539" s="57">
        <f t="shared" si="437"/>
        <v>12</v>
      </c>
      <c r="G539" s="58" t="s">
        <v>3</v>
      </c>
      <c r="H539" s="35">
        <v>168.95400000000001</v>
      </c>
      <c r="I539" s="35">
        <f t="shared" si="438"/>
        <v>2027.4480000000001</v>
      </c>
      <c r="J539" s="43">
        <v>1.3159999999999998</v>
      </c>
      <c r="K539" s="24">
        <f t="shared" si="439"/>
        <v>42</v>
      </c>
      <c r="L539" s="44">
        <f t="shared" si="440"/>
        <v>15.791999999999998</v>
      </c>
      <c r="M539" s="27">
        <f t="shared" si="441"/>
        <v>663.2639999999999</v>
      </c>
      <c r="N539" s="27">
        <f t="shared" si="442"/>
        <v>2690.712</v>
      </c>
      <c r="O539" s="76"/>
      <c r="P539" s="59"/>
      <c r="Q539" s="59"/>
      <c r="T539" s="61"/>
    </row>
    <row r="540" spans="1:20" s="60" customFormat="1" x14ac:dyDescent="0.3">
      <c r="A540" s="45">
        <f>IF(F540&lt;&gt;"",1+MAX($A$5:A539),"")</f>
        <v>291</v>
      </c>
      <c r="B540" s="91"/>
      <c r="C540" s="38" t="s">
        <v>325</v>
      </c>
      <c r="D540" s="55">
        <v>4</v>
      </c>
      <c r="E540" s="56">
        <v>0</v>
      </c>
      <c r="F540" s="57">
        <f t="shared" si="437"/>
        <v>4</v>
      </c>
      <c r="G540" s="58" t="s">
        <v>3</v>
      </c>
      <c r="H540" s="35">
        <v>141.96019999999999</v>
      </c>
      <c r="I540" s="35">
        <f t="shared" si="438"/>
        <v>567.84079999999994</v>
      </c>
      <c r="J540" s="43">
        <v>1.3159999999999998</v>
      </c>
      <c r="K540" s="24">
        <f t="shared" si="439"/>
        <v>42</v>
      </c>
      <c r="L540" s="44">
        <f t="shared" si="440"/>
        <v>5.2639999999999993</v>
      </c>
      <c r="M540" s="27">
        <f t="shared" si="441"/>
        <v>221.08799999999997</v>
      </c>
      <c r="N540" s="27">
        <f t="shared" si="442"/>
        <v>788.92879999999991</v>
      </c>
      <c r="O540" s="76"/>
      <c r="P540" s="59"/>
      <c r="Q540" s="59"/>
      <c r="T540" s="61"/>
    </row>
    <row r="541" spans="1:20" s="60" customFormat="1" x14ac:dyDescent="0.3">
      <c r="A541" s="45">
        <f>IF(F541&lt;&gt;"",1+MAX($A$5:A540),"")</f>
        <v>292</v>
      </c>
      <c r="B541" s="91"/>
      <c r="C541" s="38" t="s">
        <v>324</v>
      </c>
      <c r="D541" s="55">
        <v>8</v>
      </c>
      <c r="E541" s="56">
        <v>0</v>
      </c>
      <c r="F541" s="57">
        <f t="shared" si="437"/>
        <v>8</v>
      </c>
      <c r="G541" s="58" t="s">
        <v>3</v>
      </c>
      <c r="H541" s="35">
        <v>141.96019999999999</v>
      </c>
      <c r="I541" s="35">
        <f t="shared" si="438"/>
        <v>1135.6815999999999</v>
      </c>
      <c r="J541" s="43">
        <v>1.3159999999999998</v>
      </c>
      <c r="K541" s="24">
        <f t="shared" si="439"/>
        <v>42</v>
      </c>
      <c r="L541" s="44">
        <f t="shared" si="440"/>
        <v>10.527999999999999</v>
      </c>
      <c r="M541" s="27">
        <f t="shared" si="441"/>
        <v>442.17599999999993</v>
      </c>
      <c r="N541" s="27">
        <f t="shared" si="442"/>
        <v>1577.8575999999998</v>
      </c>
      <c r="O541" s="76"/>
      <c r="P541" s="59"/>
      <c r="Q541" s="59"/>
      <c r="T541" s="61"/>
    </row>
    <row r="542" spans="1:20" s="60" customFormat="1" x14ac:dyDescent="0.3">
      <c r="A542" s="45">
        <f>IF(F542&lt;&gt;"",1+MAX($A$5:A541),"")</f>
        <v>293</v>
      </c>
      <c r="B542" s="91"/>
      <c r="C542" s="38" t="s">
        <v>323</v>
      </c>
      <c r="D542" s="55">
        <v>6</v>
      </c>
      <c r="E542" s="56">
        <v>0</v>
      </c>
      <c r="F542" s="57">
        <f t="shared" si="437"/>
        <v>6</v>
      </c>
      <c r="G542" s="58" t="s">
        <v>3</v>
      </c>
      <c r="H542" s="35">
        <v>141.96019999999999</v>
      </c>
      <c r="I542" s="35">
        <f t="shared" si="438"/>
        <v>851.76119999999992</v>
      </c>
      <c r="J542" s="43">
        <v>1.3159999999999998</v>
      </c>
      <c r="K542" s="24">
        <f t="shared" si="439"/>
        <v>42</v>
      </c>
      <c r="L542" s="44">
        <f t="shared" si="440"/>
        <v>7.895999999999999</v>
      </c>
      <c r="M542" s="27">
        <f t="shared" si="441"/>
        <v>331.63199999999995</v>
      </c>
      <c r="N542" s="27">
        <f t="shared" si="442"/>
        <v>1183.3932</v>
      </c>
      <c r="O542" s="76"/>
      <c r="P542" s="59"/>
      <c r="Q542" s="59"/>
      <c r="T542" s="61"/>
    </row>
    <row r="543" spans="1:20" s="60" customFormat="1" x14ac:dyDescent="0.3">
      <c r="A543" s="45">
        <f>IF(F543&lt;&gt;"",1+MAX($A$5:A542),"")</f>
        <v>294</v>
      </c>
      <c r="B543" s="91"/>
      <c r="C543" s="38" t="s">
        <v>322</v>
      </c>
      <c r="D543" s="55">
        <v>5</v>
      </c>
      <c r="E543" s="56">
        <v>0</v>
      </c>
      <c r="F543" s="57">
        <f t="shared" si="437"/>
        <v>5</v>
      </c>
      <c r="G543" s="58" t="s">
        <v>3</v>
      </c>
      <c r="H543" s="35">
        <v>407.82</v>
      </c>
      <c r="I543" s="35">
        <f t="shared" si="438"/>
        <v>2039.1</v>
      </c>
      <c r="J543" s="43">
        <v>2.2559999999999998</v>
      </c>
      <c r="K543" s="24">
        <f t="shared" si="439"/>
        <v>42</v>
      </c>
      <c r="L543" s="44">
        <f t="shared" si="440"/>
        <v>11.28</v>
      </c>
      <c r="M543" s="27">
        <f t="shared" si="441"/>
        <v>473.76</v>
      </c>
      <c r="N543" s="27">
        <f t="shared" si="442"/>
        <v>2512.8599999999997</v>
      </c>
      <c r="O543" s="76"/>
      <c r="P543" s="59"/>
      <c r="Q543" s="59"/>
      <c r="T543" s="61"/>
    </row>
    <row r="544" spans="1:20" s="60" customFormat="1" x14ac:dyDescent="0.3">
      <c r="A544" s="45">
        <f>IF(F544&lt;&gt;"",1+MAX($A$5:A543),"")</f>
        <v>295</v>
      </c>
      <c r="B544" s="91"/>
      <c r="C544" s="38" t="s">
        <v>321</v>
      </c>
      <c r="D544" s="55">
        <v>120</v>
      </c>
      <c r="E544" s="56">
        <v>0</v>
      </c>
      <c r="F544" s="57">
        <f t="shared" si="437"/>
        <v>120</v>
      </c>
      <c r="G544" s="58" t="s">
        <v>4</v>
      </c>
      <c r="H544" s="35">
        <v>31.363299999999995</v>
      </c>
      <c r="I544" s="35">
        <f t="shared" si="438"/>
        <v>3763.5959999999995</v>
      </c>
      <c r="J544" s="43">
        <v>0.11656</v>
      </c>
      <c r="K544" s="24">
        <f t="shared" si="439"/>
        <v>42</v>
      </c>
      <c r="L544" s="44">
        <f t="shared" si="440"/>
        <v>13.9872</v>
      </c>
      <c r="M544" s="27">
        <f t="shared" si="441"/>
        <v>587.4624</v>
      </c>
      <c r="N544" s="27">
        <f t="shared" si="442"/>
        <v>4351.0583999999999</v>
      </c>
      <c r="O544" s="76"/>
      <c r="P544" s="59"/>
      <c r="Q544" s="59"/>
      <c r="T544" s="61"/>
    </row>
    <row r="545" spans="1:20" s="60" customFormat="1" x14ac:dyDescent="0.3">
      <c r="A545" s="45" t="str">
        <f>IF(F545&lt;&gt;"",1+MAX($A$5:A544),"")</f>
        <v/>
      </c>
      <c r="B545" s="91"/>
      <c r="C545" s="38"/>
      <c r="D545" s="55"/>
      <c r="E545" s="56"/>
      <c r="F545" s="57"/>
      <c r="G545" s="58"/>
      <c r="H545" s="35"/>
      <c r="I545" s="35"/>
      <c r="J545" s="43"/>
      <c r="K545" s="24"/>
      <c r="L545" s="44"/>
      <c r="M545" s="27"/>
      <c r="N545" s="27"/>
      <c r="O545" s="76"/>
      <c r="P545" s="59"/>
      <c r="Q545" s="59"/>
      <c r="T545" s="61"/>
    </row>
    <row r="546" spans="1:20" s="60" customFormat="1" x14ac:dyDescent="0.3">
      <c r="A546" s="45" t="str">
        <f>IF(F546&lt;&gt;"",1+MAX($A$5:A545),"")</f>
        <v/>
      </c>
      <c r="B546" s="91"/>
      <c r="C546" s="86" t="s">
        <v>70</v>
      </c>
      <c r="D546" s="55"/>
      <c r="E546" s="56"/>
      <c r="F546" s="57"/>
      <c r="G546" s="58"/>
      <c r="H546" s="35"/>
      <c r="I546" s="35"/>
      <c r="J546" s="43"/>
      <c r="K546" s="24"/>
      <c r="L546" s="44"/>
      <c r="M546" s="27"/>
      <c r="N546" s="27"/>
      <c r="O546" s="76"/>
      <c r="P546" s="59"/>
      <c r="Q546" s="59"/>
      <c r="T546" s="61"/>
    </row>
    <row r="547" spans="1:20" s="60" customFormat="1" x14ac:dyDescent="0.3">
      <c r="A547" s="45">
        <f>IF(F547&lt;&gt;"",1+MAX($A$5:A546),"")</f>
        <v>296</v>
      </c>
      <c r="B547" s="91"/>
      <c r="C547" s="38" t="s">
        <v>320</v>
      </c>
      <c r="D547" s="55">
        <v>40</v>
      </c>
      <c r="E547" s="56">
        <v>0</v>
      </c>
      <c r="F547" s="57">
        <f>(1+E547)*D547</f>
        <v>40</v>
      </c>
      <c r="G547" s="58" t="s">
        <v>3</v>
      </c>
      <c r="H547" s="35">
        <v>13.885300000000001</v>
      </c>
      <c r="I547" s="35">
        <f t="shared" ref="I547:I549" si="443">H547*F547</f>
        <v>555.41200000000003</v>
      </c>
      <c r="J547" s="43">
        <v>0.71439999999999992</v>
      </c>
      <c r="K547" s="24">
        <f t="shared" ref="K547:K549" si="444">$N$504</f>
        <v>42</v>
      </c>
      <c r="L547" s="44">
        <f t="shared" ref="L547:L549" si="445">J547*F547</f>
        <v>28.575999999999997</v>
      </c>
      <c r="M547" s="27">
        <f t="shared" ref="M547:M549" si="446">L547*K547</f>
        <v>1200.1919999999998</v>
      </c>
      <c r="N547" s="27">
        <f t="shared" ref="N547:N549" si="447">M547+I547</f>
        <v>1755.6039999999998</v>
      </c>
      <c r="O547" s="76"/>
      <c r="P547" s="59"/>
      <c r="Q547" s="59"/>
      <c r="T547" s="61"/>
    </row>
    <row r="548" spans="1:20" s="60" customFormat="1" x14ac:dyDescent="0.3">
      <c r="A548" s="45">
        <f>IF(F548&lt;&gt;"",1+MAX($A$5:A547),"")</f>
        <v>297</v>
      </c>
      <c r="B548" s="91"/>
      <c r="C548" s="38" t="s">
        <v>319</v>
      </c>
      <c r="D548" s="55">
        <v>29</v>
      </c>
      <c r="E548" s="56">
        <v>0</v>
      </c>
      <c r="F548" s="57">
        <f>(1+E548)*D548</f>
        <v>29</v>
      </c>
      <c r="G548" s="58" t="s">
        <v>3</v>
      </c>
      <c r="H548" s="35">
        <v>16.7012</v>
      </c>
      <c r="I548" s="35">
        <f t="shared" si="443"/>
        <v>484.33479999999997</v>
      </c>
      <c r="J548" s="43">
        <v>0.71439999999999992</v>
      </c>
      <c r="K548" s="24">
        <f t="shared" si="444"/>
        <v>42</v>
      </c>
      <c r="L548" s="44">
        <f t="shared" si="445"/>
        <v>20.717599999999997</v>
      </c>
      <c r="M548" s="27">
        <f t="shared" si="446"/>
        <v>870.13919999999985</v>
      </c>
      <c r="N548" s="27">
        <f t="shared" si="447"/>
        <v>1354.4739999999997</v>
      </c>
      <c r="O548" s="76"/>
      <c r="P548" s="59"/>
      <c r="Q548" s="59"/>
      <c r="T548" s="61"/>
    </row>
    <row r="549" spans="1:20" s="60" customFormat="1" x14ac:dyDescent="0.3">
      <c r="A549" s="45">
        <f>IF(F549&lt;&gt;"",1+MAX($A$5:A548),"")</f>
        <v>298</v>
      </c>
      <c r="B549" s="91"/>
      <c r="C549" s="38" t="s">
        <v>129</v>
      </c>
      <c r="D549" s="55">
        <v>3</v>
      </c>
      <c r="E549" s="56">
        <v>0</v>
      </c>
      <c r="F549" s="57">
        <f>(1+E549)*D549</f>
        <v>3</v>
      </c>
      <c r="G549" s="58" t="s">
        <v>3</v>
      </c>
      <c r="H549" s="35">
        <v>21.692139999999998</v>
      </c>
      <c r="I549" s="35">
        <f t="shared" si="443"/>
        <v>65.076419999999999</v>
      </c>
      <c r="J549" s="43">
        <v>0.71439999999999992</v>
      </c>
      <c r="K549" s="24">
        <f t="shared" si="444"/>
        <v>42</v>
      </c>
      <c r="L549" s="44">
        <f t="shared" si="445"/>
        <v>2.1431999999999998</v>
      </c>
      <c r="M549" s="27">
        <f t="shared" si="446"/>
        <v>90.014399999999995</v>
      </c>
      <c r="N549" s="27">
        <f t="shared" si="447"/>
        <v>155.09082000000001</v>
      </c>
      <c r="O549" s="76"/>
      <c r="P549" s="59"/>
      <c r="Q549" s="59"/>
      <c r="T549" s="61"/>
    </row>
    <row r="550" spans="1:20" s="60" customFormat="1" x14ac:dyDescent="0.3">
      <c r="A550" s="45" t="str">
        <f>IF(F550&lt;&gt;"",1+MAX($A$5:A549),"")</f>
        <v/>
      </c>
      <c r="B550" s="91"/>
      <c r="C550" s="38"/>
      <c r="D550" s="55"/>
      <c r="E550" s="56"/>
      <c r="F550" s="57"/>
      <c r="G550" s="58"/>
      <c r="H550" s="35"/>
      <c r="I550" s="35"/>
      <c r="J550" s="43"/>
      <c r="K550" s="24"/>
      <c r="L550" s="44"/>
      <c r="M550" s="27"/>
      <c r="N550" s="27"/>
      <c r="O550" s="76"/>
      <c r="P550" s="59"/>
      <c r="Q550" s="59"/>
      <c r="T550" s="61"/>
    </row>
    <row r="551" spans="1:20" s="60" customFormat="1" x14ac:dyDescent="0.3">
      <c r="A551" s="45" t="str">
        <f>IF(F551&lt;&gt;"",1+MAX($A$5:A550),"")</f>
        <v/>
      </c>
      <c r="B551" s="91"/>
      <c r="C551" s="86" t="s">
        <v>128</v>
      </c>
      <c r="D551" s="55"/>
      <c r="E551" s="56"/>
      <c r="F551" s="57"/>
      <c r="G551" s="58"/>
      <c r="H551" s="35"/>
      <c r="I551" s="35"/>
      <c r="J551" s="43"/>
      <c r="K551" s="24"/>
      <c r="L551" s="44"/>
      <c r="M551" s="27"/>
      <c r="N551" s="27"/>
      <c r="O551" s="76"/>
      <c r="P551" s="59"/>
      <c r="Q551" s="59"/>
      <c r="T551" s="61"/>
    </row>
    <row r="552" spans="1:20" s="60" customFormat="1" x14ac:dyDescent="0.3">
      <c r="A552" s="45">
        <f>IF(F552&lt;&gt;"",1+MAX($A$5:A551),"")</f>
        <v>299</v>
      </c>
      <c r="B552" s="91"/>
      <c r="C552" s="38" t="s">
        <v>318</v>
      </c>
      <c r="D552" s="55">
        <v>2</v>
      </c>
      <c r="E552" s="56">
        <v>0</v>
      </c>
      <c r="F552" s="57">
        <f>(1+E552)*D552</f>
        <v>2</v>
      </c>
      <c r="G552" s="58" t="s">
        <v>3</v>
      </c>
      <c r="H552" s="35">
        <v>137.88200000000001</v>
      </c>
      <c r="I552" s="35">
        <f t="shared" ref="I552" si="448">H552*F552</f>
        <v>275.76400000000001</v>
      </c>
      <c r="J552" s="43">
        <v>1.3583000000000001</v>
      </c>
      <c r="K552" s="24">
        <f>$N$504</f>
        <v>42</v>
      </c>
      <c r="L552" s="44">
        <f t="shared" ref="L552" si="449">J552*F552</f>
        <v>2.7166000000000001</v>
      </c>
      <c r="M552" s="27">
        <f t="shared" ref="M552" si="450">L552*K552</f>
        <v>114.0972</v>
      </c>
      <c r="N552" s="27">
        <f t="shared" ref="N552" si="451">M552+I552</f>
        <v>389.8612</v>
      </c>
      <c r="O552" s="76"/>
      <c r="P552" s="59"/>
      <c r="Q552" s="59"/>
      <c r="T552" s="61"/>
    </row>
    <row r="553" spans="1:20" s="60" customFormat="1" x14ac:dyDescent="0.3">
      <c r="A553" s="45" t="str">
        <f>IF(F553&lt;&gt;"",1+MAX($A$5:A552),"")</f>
        <v/>
      </c>
      <c r="B553" s="91"/>
      <c r="C553" s="38"/>
      <c r="D553" s="55"/>
      <c r="E553" s="56"/>
      <c r="F553" s="57"/>
      <c r="G553" s="58"/>
      <c r="H553" s="35"/>
      <c r="I553" s="35"/>
      <c r="J553" s="43"/>
      <c r="K553" s="24"/>
      <c r="L553" s="44"/>
      <c r="M553" s="27"/>
      <c r="N553" s="27"/>
      <c r="O553" s="76"/>
      <c r="P553" s="59"/>
      <c r="Q553" s="59"/>
      <c r="T553" s="61"/>
    </row>
    <row r="554" spans="1:20" s="60" customFormat="1" x14ac:dyDescent="0.3">
      <c r="A554" s="45" t="str">
        <f>IF(F554&lt;&gt;"",1+MAX($A$5:A553),"")</f>
        <v/>
      </c>
      <c r="B554" s="91"/>
      <c r="C554" s="86" t="s">
        <v>127</v>
      </c>
      <c r="D554" s="55"/>
      <c r="E554" s="56"/>
      <c r="F554" s="57"/>
      <c r="G554" s="58"/>
      <c r="H554" s="35"/>
      <c r="I554" s="35"/>
      <c r="J554" s="43"/>
      <c r="K554" s="24"/>
      <c r="L554" s="44"/>
      <c r="M554" s="27"/>
      <c r="N554" s="27"/>
      <c r="O554" s="76"/>
      <c r="P554" s="59"/>
      <c r="Q554" s="59"/>
      <c r="T554" s="61"/>
    </row>
    <row r="555" spans="1:20" s="60" customFormat="1" x14ac:dyDescent="0.3">
      <c r="A555" s="45">
        <f>IF(F555&lt;&gt;"",1+MAX($A$5:A554),"")</f>
        <v>300</v>
      </c>
      <c r="B555" s="91"/>
      <c r="C555" s="38" t="s">
        <v>317</v>
      </c>
      <c r="D555" s="55">
        <v>1</v>
      </c>
      <c r="E555" s="56">
        <v>0</v>
      </c>
      <c r="F555" s="57">
        <f t="shared" ref="F555:F561" si="452">(1+E555)*D555</f>
        <v>1</v>
      </c>
      <c r="G555" s="58" t="s">
        <v>3</v>
      </c>
      <c r="H555" s="35">
        <v>2179.895</v>
      </c>
      <c r="I555" s="35">
        <f t="shared" ref="I555" si="453">H555*F555</f>
        <v>2179.895</v>
      </c>
      <c r="J555" s="43">
        <v>4.3710000000000004</v>
      </c>
      <c r="K555" s="24">
        <f>$N$504</f>
        <v>42</v>
      </c>
      <c r="L555" s="44">
        <f t="shared" ref="L555" si="454">J555*F555</f>
        <v>4.3710000000000004</v>
      </c>
      <c r="M555" s="27">
        <f t="shared" ref="M555" si="455">L555*K555</f>
        <v>183.58200000000002</v>
      </c>
      <c r="N555" s="27">
        <f t="shared" ref="N555" si="456">M555+I555</f>
        <v>2363.4769999999999</v>
      </c>
      <c r="O555" s="76"/>
      <c r="P555" s="59"/>
      <c r="Q555" s="59"/>
      <c r="T555" s="61"/>
    </row>
    <row r="556" spans="1:20" s="60" customFormat="1" x14ac:dyDescent="0.3">
      <c r="A556" s="45">
        <f>IF(F556&lt;&gt;"",1+MAX($A$5:A555),"")</f>
        <v>301</v>
      </c>
      <c r="B556" s="91"/>
      <c r="C556" s="92" t="s">
        <v>123</v>
      </c>
      <c r="D556" s="55">
        <v>4</v>
      </c>
      <c r="E556" s="56">
        <v>0</v>
      </c>
      <c r="F556" s="57">
        <f t="shared" si="452"/>
        <v>4</v>
      </c>
      <c r="G556" s="58" t="s">
        <v>3</v>
      </c>
      <c r="H556" s="35"/>
      <c r="I556" s="35"/>
      <c r="J556" s="43"/>
      <c r="K556" s="24"/>
      <c r="L556" s="44"/>
      <c r="M556" s="27"/>
      <c r="N556" s="27"/>
      <c r="O556" s="76"/>
      <c r="P556" s="59"/>
      <c r="Q556" s="59"/>
      <c r="T556" s="61"/>
    </row>
    <row r="557" spans="1:20" s="60" customFormat="1" x14ac:dyDescent="0.3">
      <c r="A557" s="45">
        <f>IF(F557&lt;&gt;"",1+MAX($A$5:A556),"")</f>
        <v>302</v>
      </c>
      <c r="B557" s="91"/>
      <c r="C557" s="92" t="s">
        <v>316</v>
      </c>
      <c r="D557" s="55">
        <v>7</v>
      </c>
      <c r="E557" s="56">
        <v>0</v>
      </c>
      <c r="F557" s="57">
        <f t="shared" si="452"/>
        <v>7</v>
      </c>
      <c r="G557" s="58" t="s">
        <v>3</v>
      </c>
      <c r="H557" s="35"/>
      <c r="I557" s="35"/>
      <c r="J557" s="43"/>
      <c r="K557" s="24"/>
      <c r="L557" s="44"/>
      <c r="M557" s="27"/>
      <c r="N557" s="27"/>
      <c r="O557" s="76"/>
      <c r="P557" s="59"/>
      <c r="Q557" s="59"/>
      <c r="T557" s="61"/>
    </row>
    <row r="558" spans="1:20" s="60" customFormat="1" x14ac:dyDescent="0.3">
      <c r="A558" s="45">
        <f>IF(F558&lt;&gt;"",1+MAX($A$5:A557),"")</f>
        <v>303</v>
      </c>
      <c r="B558" s="91"/>
      <c r="C558" s="92" t="s">
        <v>122</v>
      </c>
      <c r="D558" s="55">
        <v>1</v>
      </c>
      <c r="E558" s="56">
        <v>0</v>
      </c>
      <c r="F558" s="57">
        <f t="shared" si="452"/>
        <v>1</v>
      </c>
      <c r="G558" s="58" t="s">
        <v>3</v>
      </c>
      <c r="H558" s="35"/>
      <c r="I558" s="35"/>
      <c r="J558" s="43"/>
      <c r="K558" s="24"/>
      <c r="L558" s="44"/>
      <c r="M558" s="27"/>
      <c r="N558" s="27"/>
      <c r="O558" s="76"/>
      <c r="P558" s="59"/>
      <c r="Q558" s="59"/>
      <c r="T558" s="61"/>
    </row>
    <row r="559" spans="1:20" s="60" customFormat="1" x14ac:dyDescent="0.3">
      <c r="A559" s="45">
        <f>IF(F559&lt;&gt;"",1+MAX($A$5:A558),"")</f>
        <v>304</v>
      </c>
      <c r="B559" s="91"/>
      <c r="C559" s="92" t="s">
        <v>126</v>
      </c>
      <c r="D559" s="55">
        <v>2</v>
      </c>
      <c r="E559" s="56">
        <v>0</v>
      </c>
      <c r="F559" s="57">
        <f t="shared" si="452"/>
        <v>2</v>
      </c>
      <c r="G559" s="58" t="s">
        <v>3</v>
      </c>
      <c r="H559" s="35"/>
      <c r="I559" s="35"/>
      <c r="J559" s="43"/>
      <c r="K559" s="24"/>
      <c r="L559" s="44"/>
      <c r="M559" s="27"/>
      <c r="N559" s="27"/>
      <c r="O559" s="76"/>
      <c r="P559" s="59"/>
      <c r="Q559" s="59"/>
      <c r="T559" s="61"/>
    </row>
    <row r="560" spans="1:20" s="60" customFormat="1" x14ac:dyDescent="0.3">
      <c r="A560" s="45">
        <f>IF(F560&lt;&gt;"",1+MAX($A$5:A559),"")</f>
        <v>305</v>
      </c>
      <c r="B560" s="91"/>
      <c r="C560" s="92" t="s">
        <v>125</v>
      </c>
      <c r="D560" s="55">
        <v>1</v>
      </c>
      <c r="E560" s="56">
        <v>0</v>
      </c>
      <c r="F560" s="57">
        <f t="shared" si="452"/>
        <v>1</v>
      </c>
      <c r="G560" s="58" t="s">
        <v>3</v>
      </c>
      <c r="H560" s="35"/>
      <c r="I560" s="35"/>
      <c r="J560" s="43"/>
      <c r="K560" s="24"/>
      <c r="L560" s="44"/>
      <c r="M560" s="27"/>
      <c r="N560" s="27"/>
      <c r="O560" s="76"/>
      <c r="P560" s="59"/>
      <c r="Q560" s="59"/>
      <c r="T560" s="61"/>
    </row>
    <row r="561" spans="1:20" s="60" customFormat="1" x14ac:dyDescent="0.3">
      <c r="A561" s="45">
        <f>IF(F561&lt;&gt;"",1+MAX($A$5:A560),"")</f>
        <v>306</v>
      </c>
      <c r="B561" s="91"/>
      <c r="C561" s="92" t="s">
        <v>124</v>
      </c>
      <c r="D561" s="55">
        <v>1</v>
      </c>
      <c r="E561" s="56">
        <v>0</v>
      </c>
      <c r="F561" s="57">
        <f t="shared" si="452"/>
        <v>1</v>
      </c>
      <c r="G561" s="58" t="s">
        <v>3</v>
      </c>
      <c r="H561" s="35"/>
      <c r="I561" s="35"/>
      <c r="J561" s="43"/>
      <c r="K561" s="24"/>
      <c r="L561" s="44"/>
      <c r="M561" s="27"/>
      <c r="N561" s="27"/>
      <c r="O561" s="76"/>
      <c r="P561" s="59"/>
      <c r="Q561" s="59"/>
      <c r="T561" s="61"/>
    </row>
    <row r="562" spans="1:20" s="60" customFormat="1" x14ac:dyDescent="0.3">
      <c r="A562" s="45" t="str">
        <f>IF(F562&lt;&gt;"",1+MAX($A$5:A561),"")</f>
        <v/>
      </c>
      <c r="B562" s="91"/>
      <c r="C562" s="38"/>
      <c r="D562" s="55"/>
      <c r="E562" s="56"/>
      <c r="F562" s="57"/>
      <c r="G562" s="58"/>
      <c r="H562" s="35"/>
      <c r="I562" s="35"/>
      <c r="J562" s="43"/>
      <c r="K562" s="24"/>
      <c r="L562" s="44"/>
      <c r="M562" s="27"/>
      <c r="N562" s="27"/>
      <c r="O562" s="76"/>
      <c r="P562" s="59"/>
      <c r="Q562" s="59"/>
      <c r="T562" s="61"/>
    </row>
    <row r="563" spans="1:20" s="60" customFormat="1" x14ac:dyDescent="0.3">
      <c r="A563" s="45" t="str">
        <f>IF(F563&lt;&gt;"",1+MAX($A$5:A562),"")</f>
        <v/>
      </c>
      <c r="B563" s="91"/>
      <c r="C563" s="86" t="s">
        <v>80</v>
      </c>
      <c r="D563" s="55"/>
      <c r="E563" s="56"/>
      <c r="F563" s="57"/>
      <c r="G563" s="58"/>
      <c r="H563" s="35"/>
      <c r="I563" s="35"/>
      <c r="J563" s="43"/>
      <c r="K563" s="24"/>
      <c r="L563" s="44"/>
      <c r="M563" s="27"/>
      <c r="N563" s="27"/>
      <c r="O563" s="76"/>
      <c r="P563" s="59"/>
      <c r="Q563" s="59"/>
      <c r="T563" s="61"/>
    </row>
    <row r="564" spans="1:20" s="60" customFormat="1" x14ac:dyDescent="0.3">
      <c r="A564" s="45">
        <f>IF(F564&lt;&gt;"",1+MAX($A$5:A563),"")</f>
        <v>307</v>
      </c>
      <c r="B564" s="91"/>
      <c r="C564" s="38" t="s">
        <v>315</v>
      </c>
      <c r="D564" s="55">
        <v>1</v>
      </c>
      <c r="E564" s="56">
        <v>0</v>
      </c>
      <c r="F564" s="57">
        <f>(1+E564)*D564</f>
        <v>1</v>
      </c>
      <c r="G564" s="58" t="s">
        <v>3</v>
      </c>
      <c r="H564" s="35">
        <v>375.77699999999999</v>
      </c>
      <c r="I564" s="35">
        <f t="shared" ref="I564:I565" si="457">H564*F564</f>
        <v>375.77699999999999</v>
      </c>
      <c r="J564" s="43">
        <v>2.2559999999999998</v>
      </c>
      <c r="K564" s="24">
        <f t="shared" ref="K564:K565" si="458">$N$504</f>
        <v>42</v>
      </c>
      <c r="L564" s="44">
        <f t="shared" ref="L564:L565" si="459">J564*F564</f>
        <v>2.2559999999999998</v>
      </c>
      <c r="M564" s="27">
        <f t="shared" ref="M564:M565" si="460">L564*K564</f>
        <v>94.751999999999995</v>
      </c>
      <c r="N564" s="27">
        <f t="shared" ref="N564:N565" si="461">M564+I564</f>
        <v>470.529</v>
      </c>
      <c r="O564" s="76"/>
      <c r="P564" s="59"/>
      <c r="Q564" s="59"/>
      <c r="T564" s="61"/>
    </row>
    <row r="565" spans="1:20" s="60" customFormat="1" x14ac:dyDescent="0.3">
      <c r="A565" s="45">
        <f>IF(F565&lt;&gt;"",1+MAX($A$5:A564),"")</f>
        <v>308</v>
      </c>
      <c r="B565" s="91"/>
      <c r="C565" s="38" t="s">
        <v>110</v>
      </c>
      <c r="D565" s="55">
        <v>1</v>
      </c>
      <c r="E565" s="56">
        <v>0</v>
      </c>
      <c r="F565" s="57">
        <f>(1+E565)*D565</f>
        <v>1</v>
      </c>
      <c r="G565" s="58" t="s">
        <v>3</v>
      </c>
      <c r="H565" s="35">
        <v>375.77699999999999</v>
      </c>
      <c r="I565" s="35">
        <f t="shared" si="457"/>
        <v>375.77699999999999</v>
      </c>
      <c r="J565" s="43">
        <v>2.2559999999999998</v>
      </c>
      <c r="K565" s="24">
        <f t="shared" si="458"/>
        <v>42</v>
      </c>
      <c r="L565" s="44">
        <f t="shared" si="459"/>
        <v>2.2559999999999998</v>
      </c>
      <c r="M565" s="27">
        <f t="shared" si="460"/>
        <v>94.751999999999995</v>
      </c>
      <c r="N565" s="27">
        <f t="shared" si="461"/>
        <v>470.529</v>
      </c>
      <c r="O565" s="76"/>
      <c r="P565" s="59"/>
      <c r="Q565" s="59"/>
      <c r="T565" s="61"/>
    </row>
    <row r="566" spans="1:20" s="60" customFormat="1" x14ac:dyDescent="0.3">
      <c r="A566" s="45" t="str">
        <f>IF(F566&lt;&gt;"",1+MAX($A$5:A565),"")</f>
        <v/>
      </c>
      <c r="B566" s="91"/>
      <c r="C566" s="38"/>
      <c r="D566" s="55"/>
      <c r="E566" s="56"/>
      <c r="F566" s="57"/>
      <c r="G566" s="58"/>
      <c r="H566" s="35"/>
      <c r="I566" s="35"/>
      <c r="J566" s="43"/>
      <c r="K566" s="24"/>
      <c r="L566" s="44"/>
      <c r="M566" s="27"/>
      <c r="N566" s="27"/>
      <c r="O566" s="76"/>
      <c r="P566" s="59"/>
      <c r="Q566" s="59"/>
      <c r="T566" s="61"/>
    </row>
    <row r="567" spans="1:20" s="3" customFormat="1" x14ac:dyDescent="0.25">
      <c r="A567" s="31"/>
      <c r="B567" s="62"/>
      <c r="C567" s="17" t="s">
        <v>345</v>
      </c>
      <c r="D567" s="25"/>
      <c r="E567" s="8"/>
      <c r="F567" s="28"/>
      <c r="G567" s="8"/>
      <c r="H567" s="8"/>
      <c r="I567" s="8"/>
      <c r="J567" s="8"/>
      <c r="K567" s="8"/>
      <c r="L567" s="8"/>
      <c r="M567" s="22"/>
      <c r="N567" s="8"/>
      <c r="O567" s="9">
        <f>SUM(N569:N572)</f>
        <v>755.919128</v>
      </c>
      <c r="P567" s="59"/>
      <c r="Q567" s="2"/>
      <c r="T567" s="16"/>
    </row>
    <row r="568" spans="1:20" s="3" customFormat="1" x14ac:dyDescent="0.25">
      <c r="A568" s="45" t="str">
        <f>IF(F568&lt;&gt;"",1+MAX($A$5:A567),"")</f>
        <v/>
      </c>
      <c r="B568" s="84"/>
      <c r="C568" s="18"/>
      <c r="D568" s="19"/>
      <c r="E568" s="20"/>
      <c r="F568" s="29"/>
      <c r="G568" s="21"/>
      <c r="H568" s="21"/>
      <c r="I568" s="21"/>
      <c r="J568" s="21"/>
      <c r="K568" s="21"/>
      <c r="L568" s="21"/>
      <c r="M568" s="40" t="s">
        <v>21</v>
      </c>
      <c r="N568" s="41">
        <v>38</v>
      </c>
      <c r="O568" s="76"/>
      <c r="P568" s="59"/>
      <c r="Q568" s="2"/>
      <c r="T568" s="16"/>
    </row>
    <row r="569" spans="1:20" s="60" customFormat="1" x14ac:dyDescent="0.3">
      <c r="A569" s="45" t="str">
        <f>IF(F569&lt;&gt;"",1+MAX($A$5:A568),"")</f>
        <v/>
      </c>
      <c r="B569" s="91"/>
      <c r="C569" s="86" t="s">
        <v>344</v>
      </c>
      <c r="D569" s="55"/>
      <c r="E569" s="56"/>
      <c r="F569" s="57"/>
      <c r="G569" s="58"/>
      <c r="H569" s="35"/>
      <c r="I569" s="35"/>
      <c r="J569" s="43"/>
      <c r="K569" s="24"/>
      <c r="L569" s="44"/>
      <c r="M569" s="27"/>
      <c r="N569" s="27"/>
      <c r="O569" s="76"/>
      <c r="P569" s="59"/>
      <c r="Q569" s="59"/>
      <c r="T569" s="61"/>
    </row>
    <row r="570" spans="1:20" s="60" customFormat="1" x14ac:dyDescent="0.3">
      <c r="A570" s="45">
        <f>IF(F570&lt;&gt;"",1+MAX($A$5:A569),"")</f>
        <v>309</v>
      </c>
      <c r="B570" s="91"/>
      <c r="C570" s="38" t="s">
        <v>343</v>
      </c>
      <c r="D570" s="55">
        <v>2</v>
      </c>
      <c r="E570" s="56">
        <v>0</v>
      </c>
      <c r="F570" s="57">
        <f>(1+E570)*D570</f>
        <v>2</v>
      </c>
      <c r="G570" s="58" t="s">
        <v>3</v>
      </c>
      <c r="H570" s="35">
        <v>99.042000000000002</v>
      </c>
      <c r="I570" s="35">
        <f t="shared" ref="I570" si="462">H570*F570</f>
        <v>198.084</v>
      </c>
      <c r="J570" s="43">
        <v>0.77427799999999991</v>
      </c>
      <c r="K570" s="24">
        <f>$N$568</f>
        <v>38</v>
      </c>
      <c r="L570" s="44">
        <f t="shared" ref="L570" si="463">J570*F570</f>
        <v>1.5485559999999998</v>
      </c>
      <c r="M570" s="27">
        <f t="shared" ref="M570" si="464">L570*K570</f>
        <v>58.845127999999995</v>
      </c>
      <c r="N570" s="27">
        <f t="shared" ref="N570" si="465">M570+I570</f>
        <v>256.92912799999999</v>
      </c>
      <c r="O570" s="76"/>
      <c r="P570" s="59"/>
      <c r="Q570" s="59"/>
      <c r="T570" s="61"/>
    </row>
    <row r="571" spans="1:20" s="60" customFormat="1" x14ac:dyDescent="0.3">
      <c r="A571" s="45">
        <f>IF(F571&lt;&gt;"",1+MAX($A$5:A570),"")</f>
        <v>310</v>
      </c>
      <c r="B571" s="91"/>
      <c r="C571" s="38" t="s">
        <v>121</v>
      </c>
      <c r="D571" s="55">
        <v>6</v>
      </c>
      <c r="E571" s="56">
        <v>0</v>
      </c>
      <c r="F571" s="57">
        <f>(1+E571)*D571</f>
        <v>6</v>
      </c>
      <c r="G571" s="58" t="s">
        <v>3</v>
      </c>
      <c r="H571" s="35">
        <v>63.697599999999994</v>
      </c>
      <c r="I571" s="35">
        <f t="shared" ref="I571" si="466">H571*F571</f>
        <v>382.18559999999997</v>
      </c>
      <c r="J571" s="43">
        <v>0.51229999999999998</v>
      </c>
      <c r="K571" s="24">
        <f>$N$568</f>
        <v>38</v>
      </c>
      <c r="L571" s="44">
        <f t="shared" ref="L571" si="467">J571*F571</f>
        <v>3.0737999999999999</v>
      </c>
      <c r="M571" s="27">
        <f t="shared" ref="M571" si="468">L571*K571</f>
        <v>116.8044</v>
      </c>
      <c r="N571" s="27">
        <f t="shared" ref="N571" si="469">M571+I571</f>
        <v>498.98999999999995</v>
      </c>
      <c r="O571" s="76"/>
      <c r="P571" s="59"/>
      <c r="Q571" s="59"/>
      <c r="T571" s="61"/>
    </row>
    <row r="572" spans="1:20" s="60" customFormat="1" x14ac:dyDescent="0.3">
      <c r="A572" s="45" t="str">
        <f>IF(F572&lt;&gt;"",1+MAX($A$5:A571),"")</f>
        <v/>
      </c>
      <c r="B572" s="91"/>
      <c r="C572" s="38"/>
      <c r="D572" s="55"/>
      <c r="E572" s="56"/>
      <c r="F572" s="57"/>
      <c r="G572" s="58"/>
      <c r="H572" s="35"/>
      <c r="I572" s="35"/>
      <c r="J572" s="43"/>
      <c r="K572" s="24"/>
      <c r="L572" s="44"/>
      <c r="M572" s="27"/>
      <c r="N572" s="27"/>
      <c r="O572" s="76"/>
      <c r="P572" s="59"/>
      <c r="Q572" s="59"/>
      <c r="T572" s="61"/>
    </row>
    <row r="573" spans="1:20" s="3" customFormat="1" x14ac:dyDescent="0.3">
      <c r="A573" s="45" t="str">
        <f>IF(E573&lt;&gt;"",1+MAX($A$5:A572),"")</f>
        <v/>
      </c>
      <c r="B573" s="112"/>
      <c r="C573" s="75"/>
      <c r="D573" s="32"/>
      <c r="E573" s="12"/>
      <c r="F573" s="33"/>
      <c r="G573" s="34"/>
      <c r="H573" s="35"/>
      <c r="I573" s="35"/>
      <c r="J573" s="43"/>
      <c r="K573" s="24"/>
      <c r="L573" s="44"/>
      <c r="M573" s="27"/>
      <c r="N573" s="27"/>
      <c r="O573" s="76"/>
      <c r="P573" s="2"/>
      <c r="Q573" s="2"/>
      <c r="T573" s="16"/>
    </row>
    <row r="574" spans="1:20" s="3" customFormat="1" x14ac:dyDescent="0.3">
      <c r="A574" s="42"/>
      <c r="B574" s="113"/>
      <c r="C574" s="87"/>
      <c r="D574" s="37"/>
      <c r="E574" s="12"/>
      <c r="F574" s="30"/>
      <c r="G574" s="36"/>
      <c r="H574" s="24"/>
      <c r="I574" s="24"/>
      <c r="J574" s="24"/>
      <c r="K574" s="53" t="s">
        <v>30</v>
      </c>
      <c r="L574" s="54">
        <f>SUM(L5:L572)</f>
        <v>3936.5518110569005</v>
      </c>
      <c r="M574" s="13"/>
      <c r="N574" s="27"/>
      <c r="O574" s="76"/>
      <c r="P574" s="2"/>
      <c r="Q574" s="2"/>
      <c r="T574" s="16"/>
    </row>
    <row r="575" spans="1:20" ht="16.2" thickBot="1" x14ac:dyDescent="0.3">
      <c r="A575" s="39"/>
      <c r="B575" s="81" t="s">
        <v>36</v>
      </c>
      <c r="C575" s="88"/>
      <c r="D575" s="63"/>
      <c r="E575" s="64"/>
      <c r="F575" s="64"/>
      <c r="G575" s="65"/>
      <c r="H575" s="65"/>
      <c r="I575" s="65"/>
      <c r="J575" s="65"/>
      <c r="K575" s="52"/>
      <c r="L575" s="52"/>
      <c r="M575" s="66"/>
      <c r="N575" s="77"/>
      <c r="O575" s="78">
        <f>SUM(O5:O574)</f>
        <v>590961.39557204186</v>
      </c>
    </row>
    <row r="576" spans="1:20" ht="16.8" thickTop="1" thickBot="1" x14ac:dyDescent="0.3">
      <c r="A576" s="39"/>
      <c r="B576" s="82" t="s">
        <v>37</v>
      </c>
      <c r="C576" s="88"/>
      <c r="D576" s="63"/>
      <c r="E576" s="64"/>
      <c r="F576" s="64"/>
      <c r="G576" s="65"/>
      <c r="H576" s="65"/>
      <c r="I576" s="65"/>
      <c r="J576" s="65"/>
      <c r="K576" s="65"/>
      <c r="L576" s="65"/>
      <c r="M576" s="67">
        <v>8.3000000000000004E-2</v>
      </c>
      <c r="N576" s="68"/>
      <c r="O576" s="79">
        <f>O575*M576</f>
        <v>49049.795832479474</v>
      </c>
    </row>
    <row r="577" spans="1:15" ht="16.8" thickTop="1" thickBot="1" x14ac:dyDescent="0.3">
      <c r="A577" s="39"/>
      <c r="B577" s="82" t="s">
        <v>38</v>
      </c>
      <c r="C577" s="88"/>
      <c r="D577" s="63"/>
      <c r="E577" s="64"/>
      <c r="F577" s="64"/>
      <c r="G577" s="65"/>
      <c r="H577" s="65"/>
      <c r="I577" s="65"/>
      <c r="J577" s="65"/>
      <c r="K577" s="65"/>
      <c r="L577" s="65"/>
      <c r="M577" s="69">
        <v>0.2</v>
      </c>
      <c r="N577" s="68"/>
      <c r="O577" s="79">
        <f>O575*M577</f>
        <v>118192.27911440837</v>
      </c>
    </row>
    <row r="578" spans="1:15" ht="16.8" thickTop="1" thickBot="1" x14ac:dyDescent="0.3">
      <c r="A578" s="39"/>
      <c r="B578" s="83" t="s">
        <v>39</v>
      </c>
      <c r="C578" s="89"/>
      <c r="D578" s="70"/>
      <c r="E578" s="71"/>
      <c r="F578" s="71"/>
      <c r="G578" s="72"/>
      <c r="H578" s="72"/>
      <c r="I578" s="72"/>
      <c r="J578" s="72"/>
      <c r="K578" s="72"/>
      <c r="L578" s="72"/>
      <c r="M578" s="73"/>
      <c r="N578" s="74"/>
      <c r="O578" s="80">
        <f>SUM(O575:O577)</f>
        <v>758203.47051892977</v>
      </c>
    </row>
    <row r="579" spans="1:15" ht="16.2" thickTop="1" x14ac:dyDescent="0.25"/>
  </sheetData>
  <mergeCells count="17">
    <mergeCell ref="B573:B574"/>
    <mergeCell ref="A1:B1"/>
    <mergeCell ref="A2:B2"/>
    <mergeCell ref="A3:B3"/>
    <mergeCell ref="C1:M1"/>
    <mergeCell ref="C2:M2"/>
    <mergeCell ref="C3:M3"/>
    <mergeCell ref="B368:B375"/>
    <mergeCell ref="B377:B384"/>
    <mergeCell ref="B390:B438"/>
    <mergeCell ref="N2:N3"/>
    <mergeCell ref="O2:O3"/>
    <mergeCell ref="B102:B106"/>
    <mergeCell ref="B110:B120"/>
    <mergeCell ref="B125:B141"/>
    <mergeCell ref="B146:B356"/>
    <mergeCell ref="B359:B365"/>
  </mergeCells>
  <printOptions horizontalCentered="1"/>
  <pageMargins left="0.43307086614173201" right="0.43307086614173201" top="0.39370078740157499" bottom="0.39370078740157499" header="0.196850393700787" footer="0.196850393700787"/>
  <pageSetup scale="29" fitToHeight="0" orientation="portrait" r:id="rId1"/>
  <headerFooter>
    <oddFooter>&amp;C&amp;P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3"/>
  <sheetViews>
    <sheetView topLeftCell="A4" workbookViewId="0">
      <selection activeCell="E18" sqref="E18"/>
    </sheetView>
  </sheetViews>
  <sheetFormatPr defaultRowHeight="15" x14ac:dyDescent="0.25"/>
  <cols>
    <col min="2" max="2" width="15.81640625" bestFit="1" customWidth="1"/>
    <col min="3" max="3" width="20.36328125" bestFit="1" customWidth="1"/>
    <col min="4" max="4" width="20.26953125" customWidth="1"/>
    <col min="5" max="5" width="15.81640625" bestFit="1" customWidth="1"/>
  </cols>
  <sheetData>
    <row r="1" spans="1:5" ht="21" x14ac:dyDescent="0.25">
      <c r="A1" s="124" t="s">
        <v>243</v>
      </c>
      <c r="B1" s="124"/>
      <c r="C1" s="124"/>
      <c r="D1" s="124"/>
      <c r="E1" s="124"/>
    </row>
    <row r="2" spans="1:5" ht="22.8" customHeight="1" x14ac:dyDescent="0.35">
      <c r="A2" s="125" t="s">
        <v>244</v>
      </c>
      <c r="B2" s="125"/>
      <c r="C2" s="125"/>
      <c r="D2" s="125"/>
      <c r="E2" s="125"/>
    </row>
    <row r="3" spans="1:5" ht="22.8" customHeight="1" x14ac:dyDescent="0.35">
      <c r="A3" s="126">
        <v>44952</v>
      </c>
      <c r="B3" s="126"/>
      <c r="C3" s="126"/>
      <c r="D3" s="126"/>
      <c r="E3" s="126"/>
    </row>
    <row r="4" spans="1:5" ht="16.2" x14ac:dyDescent="0.35">
      <c r="A4" s="127" t="s">
        <v>73</v>
      </c>
      <c r="B4" s="127"/>
      <c r="C4" s="127"/>
      <c r="D4" s="127"/>
      <c r="E4" s="127"/>
    </row>
    <row r="5" spans="1:5" ht="15.6" x14ac:dyDescent="0.25">
      <c r="A5" s="123" t="s">
        <v>82</v>
      </c>
      <c r="B5" s="123"/>
      <c r="C5" s="123"/>
      <c r="D5" s="123"/>
      <c r="E5" s="96" t="s">
        <v>83</v>
      </c>
    </row>
    <row r="6" spans="1:5" x14ac:dyDescent="0.25">
      <c r="A6" s="122" t="s">
        <v>113</v>
      </c>
      <c r="B6" s="122"/>
      <c r="C6" s="122"/>
      <c r="D6" s="122"/>
      <c r="E6" s="93">
        <f>'Estimate Statement'!O5</f>
        <v>0</v>
      </c>
    </row>
    <row r="7" spans="1:5" x14ac:dyDescent="0.25">
      <c r="A7" s="122" t="s">
        <v>135</v>
      </c>
      <c r="B7" s="122"/>
      <c r="C7" s="122"/>
      <c r="D7" s="122"/>
      <c r="E7" s="93">
        <f>'Estimate Statement'!O16</f>
        <v>42961.991166822569</v>
      </c>
    </row>
    <row r="8" spans="1:5" x14ac:dyDescent="0.25">
      <c r="A8" s="122" t="s">
        <v>84</v>
      </c>
      <c r="B8" s="122"/>
      <c r="C8" s="122"/>
      <c r="D8" s="122"/>
      <c r="E8" s="93">
        <f>'Estimate Statement'!O53</f>
        <v>3433.0159894799995</v>
      </c>
    </row>
    <row r="9" spans="1:5" x14ac:dyDescent="0.25">
      <c r="A9" s="122" t="s">
        <v>85</v>
      </c>
      <c r="B9" s="122"/>
      <c r="C9" s="122"/>
      <c r="D9" s="122"/>
      <c r="E9" s="93">
        <f>'Estimate Statement'!O70</f>
        <v>103415.33777870468</v>
      </c>
    </row>
    <row r="10" spans="1:5" x14ac:dyDescent="0.25">
      <c r="A10" s="122" t="s">
        <v>86</v>
      </c>
      <c r="B10" s="122"/>
      <c r="C10" s="122"/>
      <c r="D10" s="122"/>
      <c r="E10" s="93">
        <f>'Estimate Statement'!O108</f>
        <v>42887.305272363206</v>
      </c>
    </row>
    <row r="11" spans="1:5" x14ac:dyDescent="0.25">
      <c r="A11" s="122" t="s">
        <v>87</v>
      </c>
      <c r="B11" s="122"/>
      <c r="C11" s="122"/>
      <c r="D11" s="122"/>
      <c r="E11" s="93">
        <f>'Estimate Statement'!O122</f>
        <v>41101.657980000004</v>
      </c>
    </row>
    <row r="12" spans="1:5" x14ac:dyDescent="0.25">
      <c r="A12" s="122" t="s">
        <v>88</v>
      </c>
      <c r="B12" s="122"/>
      <c r="C12" s="122"/>
      <c r="D12" s="122"/>
      <c r="E12" s="93">
        <f>'Estimate Statement'!O143</f>
        <v>182775.26173000838</v>
      </c>
    </row>
    <row r="13" spans="1:5" x14ac:dyDescent="0.25">
      <c r="A13" s="122" t="s">
        <v>89</v>
      </c>
      <c r="B13" s="122"/>
      <c r="C13" s="122"/>
      <c r="D13" s="122"/>
      <c r="E13" s="93">
        <f>'Estimate Statement'!O358</f>
        <v>2023.6555799999999</v>
      </c>
    </row>
    <row r="14" spans="1:5" x14ac:dyDescent="0.25">
      <c r="A14" s="122" t="s">
        <v>90</v>
      </c>
      <c r="B14" s="122"/>
      <c r="C14" s="122"/>
      <c r="D14" s="122"/>
      <c r="E14" s="93">
        <f>'Estimate Statement'!O366</f>
        <v>18177.3678</v>
      </c>
    </row>
    <row r="15" spans="1:5" x14ac:dyDescent="0.25">
      <c r="A15" s="122" t="s">
        <v>91</v>
      </c>
      <c r="B15" s="122"/>
      <c r="C15" s="122"/>
      <c r="D15" s="122"/>
      <c r="E15" s="93">
        <f>'Estimate Statement'!O376</f>
        <v>14247.228154279999</v>
      </c>
    </row>
    <row r="16" spans="1:5" x14ac:dyDescent="0.25">
      <c r="A16" s="122" t="s">
        <v>92</v>
      </c>
      <c r="B16" s="122"/>
      <c r="C16" s="122"/>
      <c r="D16" s="122"/>
      <c r="E16" s="93">
        <f>'Estimate Statement'!O386</f>
        <v>31350.039560000005</v>
      </c>
    </row>
    <row r="17" spans="1:5" x14ac:dyDescent="0.25">
      <c r="A17" s="122" t="s">
        <v>93</v>
      </c>
      <c r="B17" s="122"/>
      <c r="C17" s="122"/>
      <c r="D17" s="122"/>
      <c r="E17" s="93">
        <f>'Estimate Statement'!O442</f>
        <v>36372.093779792995</v>
      </c>
    </row>
    <row r="18" spans="1:5" x14ac:dyDescent="0.25">
      <c r="A18" s="122" t="s">
        <v>94</v>
      </c>
      <c r="B18" s="122"/>
      <c r="C18" s="122"/>
      <c r="D18" s="122"/>
      <c r="E18" s="93">
        <f>'Estimate Statement'!O503</f>
        <v>71460.521652590003</v>
      </c>
    </row>
    <row r="19" spans="1:5" x14ac:dyDescent="0.25">
      <c r="A19" s="122" t="s">
        <v>346</v>
      </c>
      <c r="B19" s="122"/>
      <c r="C19" s="122"/>
      <c r="D19" s="122"/>
      <c r="E19" s="93">
        <f>'Estimate Statement'!O567</f>
        <v>755.919128</v>
      </c>
    </row>
    <row r="20" spans="1:5" x14ac:dyDescent="0.25">
      <c r="A20" s="129" t="s">
        <v>95</v>
      </c>
      <c r="B20" s="129"/>
      <c r="C20" s="129"/>
      <c r="D20" s="129"/>
      <c r="E20" s="97">
        <f>SUM(E6:E19)</f>
        <v>590961.39557204186</v>
      </c>
    </row>
    <row r="21" spans="1:5" x14ac:dyDescent="0.25">
      <c r="A21" s="130" t="s">
        <v>96</v>
      </c>
      <c r="B21" s="130"/>
      <c r="C21" s="131">
        <v>0.2</v>
      </c>
      <c r="D21" s="131"/>
      <c r="E21" s="99">
        <f>E20*C21</f>
        <v>118192.27911440837</v>
      </c>
    </row>
    <row r="22" spans="1:5" x14ac:dyDescent="0.25">
      <c r="A22" s="130" t="s">
        <v>37</v>
      </c>
      <c r="B22" s="130"/>
      <c r="C22" s="131">
        <v>8.3000000000000004E-2</v>
      </c>
      <c r="D22" s="131"/>
      <c r="E22" s="99">
        <f>E20*C22</f>
        <v>49049.795832479474</v>
      </c>
    </row>
    <row r="23" spans="1:5" ht="25.2" customHeight="1" x14ac:dyDescent="0.25">
      <c r="A23" s="128" t="s">
        <v>97</v>
      </c>
      <c r="B23" s="128"/>
      <c r="C23" s="128"/>
      <c r="D23" s="128"/>
      <c r="E23" s="98">
        <f>SUM(E20:E22)</f>
        <v>758203.47051892977</v>
      </c>
    </row>
  </sheetData>
  <mergeCells count="25">
    <mergeCell ref="A23:D23"/>
    <mergeCell ref="A18:D18"/>
    <mergeCell ref="A13:D13"/>
    <mergeCell ref="A14:D14"/>
    <mergeCell ref="A15:D15"/>
    <mergeCell ref="A16:D16"/>
    <mergeCell ref="A17:D17"/>
    <mergeCell ref="A20:D20"/>
    <mergeCell ref="A21:B21"/>
    <mergeCell ref="A22:B22"/>
    <mergeCell ref="C21:D21"/>
    <mergeCell ref="C22:D22"/>
    <mergeCell ref="A6:D6"/>
    <mergeCell ref="A5:D5"/>
    <mergeCell ref="A1:E1"/>
    <mergeCell ref="A2:E2"/>
    <mergeCell ref="A3:E3"/>
    <mergeCell ref="A4:E4"/>
    <mergeCell ref="A7:D7"/>
    <mergeCell ref="A19:D19"/>
    <mergeCell ref="A8:D8"/>
    <mergeCell ref="A9:D9"/>
    <mergeCell ref="A10:D10"/>
    <mergeCell ref="A11:D11"/>
    <mergeCell ref="A12:D12"/>
  </mergeCells>
  <pageMargins left="0.7" right="0.7" top="0.75" bottom="0.75" header="0.3" footer="0.3"/>
  <pageSetup paperSize="0" scale="90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S w i f t T o k e n s   x m l n s : x s i = " h t t p : / / w w w . w 3 . o r g / 2 0 0 1 / X M L S c h e m a - i n s t a n c e "   x m l n s : x s d = " h t t p : / / w w w . w 3 . o r g / 2 0 0 1 / X M L S c h e m a " > < T o k e n s / > < / S w i f t T o k e n s > 
</file>

<file path=customXml/itemProps1.xml><?xml version="1.0" encoding="utf-8"?>
<ds:datastoreItem xmlns:ds="http://schemas.openxmlformats.org/officeDocument/2006/customXml" ds:itemID="{7BBC6709-6A68-491E-960E-69698CF44B0F}">
  <ds:schemaRefs>
    <ds:schemaRef ds:uri="http://www.w3.org/2001/XMLSchem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Estimate Statement</vt:lpstr>
      <vt:lpstr>Cost Summary</vt:lpstr>
      <vt:lpstr>'Estimate Statement'!Print_Area</vt:lpstr>
      <vt:lpstr>'Estimate Statement'!Print_Titles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2013-07-08T09:36:48Z</dcterms:created>
  <dcterms:modified xsi:type="dcterms:W3CDTF">2023-01-27T17:30:14Z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S9Connected">
    <vt:bool>true</vt:bool>
  </property>
  <property fmtid="{D5CDD505-2E9C-101B-9397-08002B2CF9AE}" pid="3" name="PlanSwiftJobName">
    <vt:lpwstr/>
  </property>
  <property fmtid="{D5CDD505-2E9C-101B-9397-08002B2CF9AE}" pid="4" name="PlanSwiftJobGuid">
    <vt:lpwstr/>
  </property>
  <property fmtid="{D5CDD505-2E9C-101B-9397-08002B2CF9AE}" pid="5" name="LinkedDataId">
    <vt:lpwstr>{7BBC6709-6A68-491E-960E-69698CF44B0F}</vt:lpwstr>
  </property>
</Properties>
</file>