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4E860890-005A-4F13-8DEA-2025E9D426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imate Statement" sheetId="11" r:id="rId1"/>
  </sheets>
  <definedNames>
    <definedName name="_xlnm._FilterDatabase" localSheetId="0" hidden="1">'Estimate Statement'!#REF!</definedName>
    <definedName name="_xlnm.Print_Area" localSheetId="0">'Estimate Statement'!$A$1:$P$944</definedName>
    <definedName name="_xlnm.Print_Titles" localSheetId="0">'Estimate Statement'!$4:$4</definedName>
  </definedNames>
  <calcPr calcId="181029"/>
</workbook>
</file>

<file path=xl/calcChain.xml><?xml version="1.0" encoding="utf-8"?>
<calcChain xmlns="http://schemas.openxmlformats.org/spreadsheetml/2006/main">
  <c r="K240" i="11" l="1"/>
  <c r="K223" i="11"/>
  <c r="K222" i="11"/>
  <c r="K221" i="11"/>
  <c r="K220" i="11"/>
  <c r="K214" i="11"/>
  <c r="K213" i="11"/>
  <c r="K212" i="11"/>
  <c r="K211" i="11"/>
  <c r="K210" i="11"/>
  <c r="K896" i="11"/>
  <c r="K895" i="11"/>
  <c r="K841" i="11"/>
  <c r="K836" i="11"/>
  <c r="K835" i="11"/>
  <c r="K832" i="11"/>
  <c r="K831" i="11"/>
  <c r="K830" i="11"/>
  <c r="K827" i="11"/>
  <c r="K826" i="11"/>
  <c r="K825" i="11"/>
  <c r="K824" i="11"/>
  <c r="K823" i="11"/>
  <c r="K822" i="11"/>
  <c r="K818" i="11"/>
  <c r="K595" i="11"/>
  <c r="K553" i="11"/>
  <c r="K473" i="11"/>
  <c r="K453" i="11"/>
  <c r="K417" i="11"/>
  <c r="K392" i="11"/>
  <c r="L929" i="11" l="1"/>
  <c r="J929" i="11"/>
  <c r="L928" i="11"/>
  <c r="L927" i="11"/>
  <c r="L926" i="11"/>
  <c r="L925" i="11"/>
  <c r="L924" i="11"/>
  <c r="L912" i="11"/>
  <c r="M912" i="11"/>
  <c r="N912" i="11" s="1"/>
  <c r="L913" i="11"/>
  <c r="L914" i="11"/>
  <c r="L915" i="11"/>
  <c r="L916" i="11"/>
  <c r="L917" i="11"/>
  <c r="J918" i="11"/>
  <c r="L918" i="11"/>
  <c r="L919" i="11"/>
  <c r="L920" i="11"/>
  <c r="L921" i="11"/>
  <c r="L911" i="11"/>
  <c r="A930" i="11"/>
  <c r="A923" i="11"/>
  <c r="A922" i="11"/>
  <c r="A910" i="11"/>
  <c r="A909" i="11"/>
  <c r="G911" i="11"/>
  <c r="M911" i="11" s="1"/>
  <c r="G912" i="11"/>
  <c r="J912" i="11" s="1"/>
  <c r="G913" i="11"/>
  <c r="J913" i="11" s="1"/>
  <c r="G914" i="11"/>
  <c r="J914" i="11" s="1"/>
  <c r="G915" i="11"/>
  <c r="J915" i="11" s="1"/>
  <c r="G916" i="11"/>
  <c r="J916" i="11" s="1"/>
  <c r="G917" i="11"/>
  <c r="J917" i="11" s="1"/>
  <c r="G918" i="11"/>
  <c r="M918" i="11" s="1"/>
  <c r="G919" i="11"/>
  <c r="G920" i="11"/>
  <c r="M920" i="11" s="1"/>
  <c r="G921" i="11"/>
  <c r="M921" i="11" s="1"/>
  <c r="N921" i="11" s="1"/>
  <c r="G924" i="11"/>
  <c r="M924" i="11" s="1"/>
  <c r="G925" i="11"/>
  <c r="M925" i="11" s="1"/>
  <c r="N925" i="11" s="1"/>
  <c r="G926" i="11"/>
  <c r="M926" i="11" s="1"/>
  <c r="N926" i="11" s="1"/>
  <c r="G927" i="11"/>
  <c r="M927" i="11" s="1"/>
  <c r="G928" i="11"/>
  <c r="M928" i="11" s="1"/>
  <c r="G929" i="11"/>
  <c r="M929" i="11" s="1"/>
  <c r="N929" i="11" s="1"/>
  <c r="A908" i="11"/>
  <c r="L906" i="11"/>
  <c r="L905" i="11"/>
  <c r="A907" i="11"/>
  <c r="A904" i="11"/>
  <c r="A903" i="11"/>
  <c r="G905" i="11"/>
  <c r="G906" i="11"/>
  <c r="J906" i="11" s="1"/>
  <c r="A902" i="11"/>
  <c r="L900" i="11"/>
  <c r="M899" i="11"/>
  <c r="L899" i="11"/>
  <c r="L896" i="11"/>
  <c r="L895" i="11"/>
  <c r="L885" i="11"/>
  <c r="A901" i="11"/>
  <c r="A898" i="11"/>
  <c r="A897" i="11"/>
  <c r="A894" i="11"/>
  <c r="A884" i="11"/>
  <c r="A883" i="11"/>
  <c r="G885" i="11"/>
  <c r="E886" i="11"/>
  <c r="G886" i="11" s="1"/>
  <c r="E887" i="11"/>
  <c r="G887" i="11" s="1"/>
  <c r="E888" i="11"/>
  <c r="G888" i="11" s="1"/>
  <c r="E889" i="11"/>
  <c r="G889" i="11" s="1"/>
  <c r="E890" i="11"/>
  <c r="G890" i="11" s="1"/>
  <c r="E891" i="11"/>
  <c r="G891" i="11" s="1"/>
  <c r="E892" i="11"/>
  <c r="G892" i="11" s="1"/>
  <c r="G895" i="11"/>
  <c r="G896" i="11"/>
  <c r="J896" i="11" s="1"/>
  <c r="G899" i="11"/>
  <c r="J899" i="11" s="1"/>
  <c r="G900" i="11"/>
  <c r="A882" i="11"/>
  <c r="A881" i="11"/>
  <c r="L878" i="11"/>
  <c r="L870" i="11"/>
  <c r="L865" i="11"/>
  <c r="L862" i="11"/>
  <c r="L861" i="11"/>
  <c r="M860" i="11"/>
  <c r="L860" i="11"/>
  <c r="L857" i="11"/>
  <c r="L856" i="11"/>
  <c r="L853" i="11"/>
  <c r="L852" i="11"/>
  <c r="L851" i="11"/>
  <c r="L850" i="11"/>
  <c r="L849" i="11"/>
  <c r="L848" i="11"/>
  <c r="L847" i="11"/>
  <c r="L846" i="11"/>
  <c r="L843" i="11"/>
  <c r="L842" i="11"/>
  <c r="L841" i="11"/>
  <c r="L840" i="11"/>
  <c r="L839" i="11"/>
  <c r="L836" i="11"/>
  <c r="L835" i="11"/>
  <c r="L832" i="11"/>
  <c r="L831" i="11"/>
  <c r="L830" i="11"/>
  <c r="L827" i="11"/>
  <c r="L826" i="11"/>
  <c r="L825" i="11"/>
  <c r="L824" i="11"/>
  <c r="L823" i="11"/>
  <c r="L822" i="11"/>
  <c r="M818" i="11"/>
  <c r="L818" i="11"/>
  <c r="L817" i="11"/>
  <c r="L816" i="11"/>
  <c r="L808" i="11"/>
  <c r="L800" i="11"/>
  <c r="A864" i="11"/>
  <c r="A863" i="11"/>
  <c r="A859" i="11"/>
  <c r="A858" i="11"/>
  <c r="A855" i="11"/>
  <c r="A854" i="11"/>
  <c r="A845" i="11"/>
  <c r="A844" i="11"/>
  <c r="A838" i="11"/>
  <c r="A837" i="11"/>
  <c r="A834" i="11"/>
  <c r="A833" i="11"/>
  <c r="A829" i="11"/>
  <c r="A828" i="11"/>
  <c r="A821" i="11"/>
  <c r="A820" i="11"/>
  <c r="A819" i="11"/>
  <c r="A799" i="11"/>
  <c r="A798" i="11"/>
  <c r="G800" i="11"/>
  <c r="J800" i="11" s="1"/>
  <c r="E801" i="11"/>
  <c r="G801" i="11" s="1"/>
  <c r="E802" i="11"/>
  <c r="G802" i="11" s="1"/>
  <c r="E803" i="11"/>
  <c r="G803" i="11" s="1"/>
  <c r="E804" i="11"/>
  <c r="G804" i="11" s="1"/>
  <c r="E805" i="11"/>
  <c r="G805" i="11" s="1"/>
  <c r="E806" i="11"/>
  <c r="G806" i="11" s="1"/>
  <c r="E807" i="11"/>
  <c r="G807" i="11" s="1"/>
  <c r="G808" i="11"/>
  <c r="E809" i="11"/>
  <c r="G809" i="11" s="1"/>
  <c r="E810" i="11"/>
  <c r="G810" i="11"/>
  <c r="E811" i="11"/>
  <c r="G811" i="11" s="1"/>
  <c r="E812" i="11"/>
  <c r="G812" i="11" s="1"/>
  <c r="E813" i="11"/>
  <c r="G813" i="11" s="1"/>
  <c r="E814" i="11"/>
  <c r="G814" i="11" s="1"/>
  <c r="E815" i="11"/>
  <c r="G815" i="11" s="1"/>
  <c r="G816" i="11"/>
  <c r="J816" i="11" s="1"/>
  <c r="G817" i="11"/>
  <c r="J817" i="11" s="1"/>
  <c r="G818" i="11"/>
  <c r="J818" i="11" s="1"/>
  <c r="G822" i="11"/>
  <c r="G823" i="11"/>
  <c r="G824" i="11"/>
  <c r="G825" i="11"/>
  <c r="G826" i="11"/>
  <c r="G827" i="11"/>
  <c r="G830" i="11"/>
  <c r="J830" i="11" s="1"/>
  <c r="G831" i="11"/>
  <c r="J831" i="11" s="1"/>
  <c r="G832" i="11"/>
  <c r="G835" i="11"/>
  <c r="G836" i="11"/>
  <c r="J836" i="11" s="1"/>
  <c r="G839" i="11"/>
  <c r="G840" i="11"/>
  <c r="J840" i="11" s="1"/>
  <c r="G841" i="11"/>
  <c r="J841" i="11" s="1"/>
  <c r="G842" i="11"/>
  <c r="G843" i="11"/>
  <c r="G846" i="11"/>
  <c r="G847" i="11"/>
  <c r="J847" i="11" s="1"/>
  <c r="G848" i="11"/>
  <c r="G849" i="11"/>
  <c r="G850" i="11"/>
  <c r="J850" i="11" s="1"/>
  <c r="G851" i="11"/>
  <c r="G852" i="11"/>
  <c r="J852" i="11" s="1"/>
  <c r="G853" i="11"/>
  <c r="G856" i="11"/>
  <c r="J856" i="11" s="1"/>
  <c r="G857" i="11"/>
  <c r="G860" i="11"/>
  <c r="J860" i="11" s="1"/>
  <c r="G861" i="11"/>
  <c r="G862" i="11"/>
  <c r="G865" i="11"/>
  <c r="G866" i="11"/>
  <c r="G867" i="11"/>
  <c r="G868" i="11"/>
  <c r="G869" i="11"/>
  <c r="G870" i="11"/>
  <c r="J870" i="11" s="1"/>
  <c r="G871" i="11"/>
  <c r="G872" i="11"/>
  <c r="G873" i="11"/>
  <c r="G874" i="11"/>
  <c r="G875" i="11"/>
  <c r="G876" i="11"/>
  <c r="G877" i="11"/>
  <c r="G878" i="11"/>
  <c r="G879" i="11"/>
  <c r="G880" i="11"/>
  <c r="A797" i="11"/>
  <c r="L795" i="11"/>
  <c r="L794" i="11"/>
  <c r="L793" i="11"/>
  <c r="L792" i="11"/>
  <c r="L791" i="11"/>
  <c r="L790" i="11"/>
  <c r="L789" i="11"/>
  <c r="L788" i="11"/>
  <c r="J788" i="11"/>
  <c r="L787" i="11"/>
  <c r="L784" i="11"/>
  <c r="L781" i="11"/>
  <c r="L780" i="11"/>
  <c r="J780" i="11"/>
  <c r="L779" i="11"/>
  <c r="L776" i="11"/>
  <c r="L775" i="11"/>
  <c r="L774" i="11"/>
  <c r="L771" i="11"/>
  <c r="J771" i="11"/>
  <c r="L770" i="11"/>
  <c r="L767" i="11"/>
  <c r="L766" i="11"/>
  <c r="L765" i="11"/>
  <c r="L762" i="11"/>
  <c r="J762" i="11"/>
  <c r="L761" i="11"/>
  <c r="L760" i="11"/>
  <c r="L756" i="11"/>
  <c r="L755" i="11"/>
  <c r="L754" i="11"/>
  <c r="L753" i="11"/>
  <c r="L752" i="11"/>
  <c r="L751" i="11"/>
  <c r="L748" i="11"/>
  <c r="M747" i="11"/>
  <c r="N747" i="11" s="1"/>
  <c r="L747" i="11"/>
  <c r="L746" i="11"/>
  <c r="L745" i="11"/>
  <c r="M744" i="11"/>
  <c r="L744" i="11"/>
  <c r="L743" i="11"/>
  <c r="M740" i="11"/>
  <c r="L740" i="11"/>
  <c r="L739" i="11"/>
  <c r="L738" i="11"/>
  <c r="L737" i="11"/>
  <c r="M736" i="11"/>
  <c r="L736" i="11"/>
  <c r="L735" i="11"/>
  <c r="L734" i="11"/>
  <c r="L733" i="11"/>
  <c r="L729" i="11"/>
  <c r="L728" i="11"/>
  <c r="J728" i="11"/>
  <c r="L727" i="11"/>
  <c r="L726" i="11"/>
  <c r="L723" i="11"/>
  <c r="L722" i="11"/>
  <c r="J712" i="11"/>
  <c r="L712" i="11"/>
  <c r="L713" i="11"/>
  <c r="L714" i="11"/>
  <c r="L715" i="11"/>
  <c r="L716" i="11"/>
  <c r="J717" i="11"/>
  <c r="L717" i="11"/>
  <c r="L718" i="11"/>
  <c r="L719" i="11"/>
  <c r="L711" i="11"/>
  <c r="A796" i="11"/>
  <c r="A786" i="11"/>
  <c r="A785" i="11"/>
  <c r="A783" i="11"/>
  <c r="A782" i="11"/>
  <c r="A778" i="11"/>
  <c r="A777" i="11"/>
  <c r="A773" i="11"/>
  <c r="A772" i="11"/>
  <c r="A769" i="11"/>
  <c r="A768" i="11"/>
  <c r="A764" i="11"/>
  <c r="A763" i="11"/>
  <c r="A759" i="11"/>
  <c r="A758" i="11"/>
  <c r="A757" i="11"/>
  <c r="A750" i="11"/>
  <c r="A749" i="11"/>
  <c r="A742" i="11"/>
  <c r="A741" i="11"/>
  <c r="A732" i="11"/>
  <c r="A731" i="11"/>
  <c r="A730" i="11"/>
  <c r="A725" i="11"/>
  <c r="A724" i="11"/>
  <c r="A721" i="11"/>
  <c r="A720" i="11"/>
  <c r="A710" i="11"/>
  <c r="A709" i="11"/>
  <c r="A708" i="11"/>
  <c r="G711" i="11"/>
  <c r="M711" i="11" s="1"/>
  <c r="N711" i="11" s="1"/>
  <c r="G712" i="11"/>
  <c r="M712" i="11" s="1"/>
  <c r="G713" i="11"/>
  <c r="J713" i="11" s="1"/>
  <c r="G714" i="11"/>
  <c r="J714" i="11" s="1"/>
  <c r="G715" i="11"/>
  <c r="J715" i="11" s="1"/>
  <c r="G716" i="11"/>
  <c r="J716" i="11" s="1"/>
  <c r="G717" i="11"/>
  <c r="M717" i="11" s="1"/>
  <c r="G718" i="11"/>
  <c r="J718" i="11" s="1"/>
  <c r="G719" i="11"/>
  <c r="J719" i="11" s="1"/>
  <c r="G722" i="11"/>
  <c r="M722" i="11" s="1"/>
  <c r="G723" i="11"/>
  <c r="M723" i="11" s="1"/>
  <c r="G726" i="11"/>
  <c r="M726" i="11" s="1"/>
  <c r="N726" i="11" s="1"/>
  <c r="G727" i="11"/>
  <c r="M727" i="11" s="1"/>
  <c r="N727" i="11" s="1"/>
  <c r="G728" i="11"/>
  <c r="M728" i="11" s="1"/>
  <c r="G729" i="11"/>
  <c r="M729" i="11" s="1"/>
  <c r="G733" i="11"/>
  <c r="M733" i="11" s="1"/>
  <c r="N733" i="11" s="1"/>
  <c r="G734" i="11"/>
  <c r="J734" i="11" s="1"/>
  <c r="G735" i="11"/>
  <c r="M735" i="11" s="1"/>
  <c r="G736" i="11"/>
  <c r="J736" i="11" s="1"/>
  <c r="G737" i="11"/>
  <c r="M737" i="11" s="1"/>
  <c r="N737" i="11" s="1"/>
  <c r="G738" i="11"/>
  <c r="M738" i="11" s="1"/>
  <c r="N738" i="11" s="1"/>
  <c r="G739" i="11"/>
  <c r="M739" i="11" s="1"/>
  <c r="N739" i="11" s="1"/>
  <c r="G740" i="11"/>
  <c r="J740" i="11" s="1"/>
  <c r="G743" i="11"/>
  <c r="J743" i="11" s="1"/>
  <c r="G744" i="11"/>
  <c r="J744" i="11" s="1"/>
  <c r="G745" i="11"/>
  <c r="J745" i="11" s="1"/>
  <c r="G746" i="11"/>
  <c r="M746" i="11" s="1"/>
  <c r="N746" i="11" s="1"/>
  <c r="G747" i="11"/>
  <c r="J747" i="11" s="1"/>
  <c r="G748" i="11"/>
  <c r="J748" i="11" s="1"/>
  <c r="G751" i="11"/>
  <c r="J751" i="11" s="1"/>
  <c r="G752" i="11"/>
  <c r="M752" i="11" s="1"/>
  <c r="G753" i="11"/>
  <c r="M753" i="11" s="1"/>
  <c r="G754" i="11"/>
  <c r="M754" i="11" s="1"/>
  <c r="G755" i="11"/>
  <c r="M755" i="11" s="1"/>
  <c r="G756" i="11"/>
  <c r="J756" i="11" s="1"/>
  <c r="G760" i="11"/>
  <c r="J760" i="11" s="1"/>
  <c r="G761" i="11"/>
  <c r="M761" i="11" s="1"/>
  <c r="N761" i="11" s="1"/>
  <c r="G762" i="11"/>
  <c r="M762" i="11" s="1"/>
  <c r="G765" i="11"/>
  <c r="J765" i="11" s="1"/>
  <c r="G766" i="11"/>
  <c r="M766" i="11" s="1"/>
  <c r="G767" i="11"/>
  <c r="M767" i="11" s="1"/>
  <c r="N767" i="11" s="1"/>
  <c r="G770" i="11"/>
  <c r="M770" i="11" s="1"/>
  <c r="N770" i="11" s="1"/>
  <c r="G771" i="11"/>
  <c r="M771" i="11" s="1"/>
  <c r="G774" i="11"/>
  <c r="M774" i="11" s="1"/>
  <c r="N774" i="11" s="1"/>
  <c r="G775" i="11"/>
  <c r="M775" i="11" s="1"/>
  <c r="N775" i="11" s="1"/>
  <c r="G776" i="11"/>
  <c r="M776" i="11" s="1"/>
  <c r="N776" i="11" s="1"/>
  <c r="G779" i="11"/>
  <c r="M779" i="11" s="1"/>
  <c r="G780" i="11"/>
  <c r="M780" i="11" s="1"/>
  <c r="G781" i="11"/>
  <c r="J781" i="11" s="1"/>
  <c r="G784" i="11"/>
  <c r="M784" i="11" s="1"/>
  <c r="G787" i="11"/>
  <c r="M787" i="11" s="1"/>
  <c r="G788" i="11"/>
  <c r="M788" i="11" s="1"/>
  <c r="N788" i="11" s="1"/>
  <c r="G789" i="11"/>
  <c r="M789" i="11" s="1"/>
  <c r="G790" i="11"/>
  <c r="M790" i="11" s="1"/>
  <c r="G791" i="11"/>
  <c r="M791" i="11" s="1"/>
  <c r="G792" i="11"/>
  <c r="M792" i="11" s="1"/>
  <c r="N792" i="11" s="1"/>
  <c r="G793" i="11"/>
  <c r="M793" i="11" s="1"/>
  <c r="G794" i="11"/>
  <c r="J794" i="11" s="1"/>
  <c r="G795" i="11"/>
  <c r="M795" i="11" s="1"/>
  <c r="N795" i="11" s="1"/>
  <c r="J795" i="11" l="1"/>
  <c r="N722" i="11"/>
  <c r="N712" i="11"/>
  <c r="J711" i="11"/>
  <c r="M714" i="11"/>
  <c r="N714" i="11" s="1"/>
  <c r="J726" i="11"/>
  <c r="O726" i="11" s="1"/>
  <c r="J733" i="11"/>
  <c r="M745" i="11"/>
  <c r="M751" i="11"/>
  <c r="N751" i="11" s="1"/>
  <c r="J766" i="11"/>
  <c r="M781" i="11"/>
  <c r="N781" i="11" s="1"/>
  <c r="M842" i="11"/>
  <c r="J842" i="11"/>
  <c r="M852" i="11"/>
  <c r="N744" i="11"/>
  <c r="O744" i="11" s="1"/>
  <c r="M822" i="11"/>
  <c r="N822" i="11" s="1"/>
  <c r="J822" i="11"/>
  <c r="M853" i="11"/>
  <c r="N853" i="11" s="1"/>
  <c r="J853" i="11"/>
  <c r="N793" i="11"/>
  <c r="N754" i="11"/>
  <c r="O711" i="11"/>
  <c r="J746" i="11"/>
  <c r="O746" i="11" s="1"/>
  <c r="J752" i="11"/>
  <c r="M756" i="11"/>
  <c r="J784" i="11"/>
  <c r="J791" i="11"/>
  <c r="M865" i="11"/>
  <c r="N865" i="11" s="1"/>
  <c r="J865" i="11"/>
  <c r="M851" i="11"/>
  <c r="N851" i="11" s="1"/>
  <c r="J851" i="11"/>
  <c r="M827" i="11"/>
  <c r="N827" i="11" s="1"/>
  <c r="J827" i="11"/>
  <c r="M816" i="11"/>
  <c r="N816" i="11" s="1"/>
  <c r="M836" i="11"/>
  <c r="M895" i="11"/>
  <c r="J895" i="11"/>
  <c r="M919" i="11"/>
  <c r="N919" i="11" s="1"/>
  <c r="O919" i="11" s="1"/>
  <c r="J919" i="11"/>
  <c r="N911" i="11"/>
  <c r="J921" i="11"/>
  <c r="M915" i="11"/>
  <c r="O788" i="11"/>
  <c r="M900" i="11"/>
  <c r="N900" i="11" s="1"/>
  <c r="J900" i="11"/>
  <c r="O733" i="11"/>
  <c r="J779" i="11"/>
  <c r="O779" i="11" s="1"/>
  <c r="M862" i="11"/>
  <c r="N862" i="11" s="1"/>
  <c r="J862" i="11"/>
  <c r="M826" i="11"/>
  <c r="J826" i="11"/>
  <c r="M808" i="11"/>
  <c r="N808" i="11" s="1"/>
  <c r="O808" i="11" s="1"/>
  <c r="J808" i="11"/>
  <c r="N817" i="11"/>
  <c r="O817" i="11" s="1"/>
  <c r="M847" i="11"/>
  <c r="N847" i="11" s="1"/>
  <c r="O847" i="11" s="1"/>
  <c r="M870" i="11"/>
  <c r="M885" i="11"/>
  <c r="N885" i="11" s="1"/>
  <c r="O885" i="11" s="1"/>
  <c r="J885" i="11"/>
  <c r="M905" i="11"/>
  <c r="J905" i="11"/>
  <c r="N928" i="11"/>
  <c r="M857" i="11"/>
  <c r="N857" i="11" s="1"/>
  <c r="O857" i="11" s="1"/>
  <c r="J857" i="11"/>
  <c r="M823" i="11"/>
  <c r="N823" i="11" s="1"/>
  <c r="J823" i="11"/>
  <c r="M846" i="11"/>
  <c r="J846" i="11"/>
  <c r="N899" i="11"/>
  <c r="N771" i="11"/>
  <c r="N753" i="11"/>
  <c r="O753" i="11" s="1"/>
  <c r="N729" i="11"/>
  <c r="J727" i="11"/>
  <c r="M760" i="11"/>
  <c r="J770" i="11"/>
  <c r="M861" i="11"/>
  <c r="N861" i="11" s="1"/>
  <c r="J861" i="11"/>
  <c r="M849" i="11"/>
  <c r="N849" i="11" s="1"/>
  <c r="O849" i="11" s="1"/>
  <c r="J849" i="11"/>
  <c r="M839" i="11"/>
  <c r="N839" i="11" s="1"/>
  <c r="O839" i="11" s="1"/>
  <c r="J839" i="11"/>
  <c r="M825" i="11"/>
  <c r="N825" i="11" s="1"/>
  <c r="J825" i="11"/>
  <c r="M817" i="11"/>
  <c r="J920" i="11"/>
  <c r="J926" i="11"/>
  <c r="O926" i="11" s="1"/>
  <c r="M835" i="11"/>
  <c r="N835" i="11" s="1"/>
  <c r="J835" i="11"/>
  <c r="M832" i="11"/>
  <c r="J832" i="11"/>
  <c r="O795" i="11"/>
  <c r="M843" i="11"/>
  <c r="N843" i="11" s="1"/>
  <c r="J843" i="11"/>
  <c r="N762" i="11"/>
  <c r="O762" i="11" s="1"/>
  <c r="M743" i="11"/>
  <c r="N743" i="11" s="1"/>
  <c r="J753" i="11"/>
  <c r="M878" i="11"/>
  <c r="N878" i="11" s="1"/>
  <c r="J878" i="11"/>
  <c r="M848" i="11"/>
  <c r="N848" i="11" s="1"/>
  <c r="J848" i="11"/>
  <c r="M824" i="11"/>
  <c r="N824" i="11" s="1"/>
  <c r="J824" i="11"/>
  <c r="M840" i="11"/>
  <c r="N840" i="11" s="1"/>
  <c r="O840" i="11" s="1"/>
  <c r="M896" i="11"/>
  <c r="N896" i="11" s="1"/>
  <c r="O896" i="11" s="1"/>
  <c r="N924" i="11"/>
  <c r="N920" i="11"/>
  <c r="N918" i="11"/>
  <c r="O918" i="11" s="1"/>
  <c r="N895" i="11"/>
  <c r="O895" i="11" s="1"/>
  <c r="N842" i="11"/>
  <c r="O842" i="11" s="1"/>
  <c r="N836" i="11"/>
  <c r="O836" i="11" s="1"/>
  <c r="N870" i="11"/>
  <c r="N846" i="11"/>
  <c r="N860" i="11"/>
  <c r="N852" i="11"/>
  <c r="O852" i="11" s="1"/>
  <c r="N832" i="11"/>
  <c r="N745" i="11"/>
  <c r="O745" i="11" s="1"/>
  <c r="N736" i="11"/>
  <c r="N779" i="11"/>
  <c r="N723" i="11"/>
  <c r="N756" i="11"/>
  <c r="N740" i="11"/>
  <c r="O740" i="11" s="1"/>
  <c r="N717" i="11"/>
  <c r="O717" i="11" s="1"/>
  <c r="N784" i="11"/>
  <c r="O784" i="11" s="1"/>
  <c r="N790" i="11"/>
  <c r="N735" i="11"/>
  <c r="N789" i="11"/>
  <c r="O929" i="11"/>
  <c r="O921" i="11"/>
  <c r="N915" i="11"/>
  <c r="O915" i="11" s="1"/>
  <c r="O912" i="11"/>
  <c r="O771" i="11"/>
  <c r="O770" i="11"/>
  <c r="O727" i="11"/>
  <c r="O714" i="11"/>
  <c r="O712" i="11"/>
  <c r="O825" i="11"/>
  <c r="O822" i="11"/>
  <c r="O899" i="11"/>
  <c r="O862" i="11"/>
  <c r="O878" i="11"/>
  <c r="O848" i="11"/>
  <c r="O756" i="11"/>
  <c r="J787" i="11"/>
  <c r="M800" i="11"/>
  <c r="N800" i="11" s="1"/>
  <c r="O800" i="11" s="1"/>
  <c r="M850" i="11"/>
  <c r="N850" i="11" s="1"/>
  <c r="O850" i="11" s="1"/>
  <c r="J722" i="11"/>
  <c r="O722" i="11" s="1"/>
  <c r="M734" i="11"/>
  <c r="N734" i="11" s="1"/>
  <c r="O734" i="11" s="1"/>
  <c r="M765" i="11"/>
  <c r="N765" i="11" s="1"/>
  <c r="O765" i="11" s="1"/>
  <c r="N787" i="11"/>
  <c r="N791" i="11"/>
  <c r="O791" i="11" s="1"/>
  <c r="M794" i="11"/>
  <c r="N794" i="11" s="1"/>
  <c r="O794" i="11" s="1"/>
  <c r="M830" i="11"/>
  <c r="N830" i="11" s="1"/>
  <c r="O830" i="11" s="1"/>
  <c r="M841" i="11"/>
  <c r="N841" i="11" s="1"/>
  <c r="O841" i="11" s="1"/>
  <c r="M856" i="11"/>
  <c r="N856" i="11" s="1"/>
  <c r="O856" i="11" s="1"/>
  <c r="J774" i="11"/>
  <c r="O774" i="11" s="1"/>
  <c r="J927" i="11"/>
  <c r="J738" i="11"/>
  <c r="O738" i="11" s="1"/>
  <c r="O736" i="11"/>
  <c r="O743" i="11"/>
  <c r="J739" i="11"/>
  <c r="O739" i="11" s="1"/>
  <c r="N760" i="11"/>
  <c r="O760" i="11" s="1"/>
  <c r="J792" i="11"/>
  <c r="O792" i="11" s="1"/>
  <c r="N905" i="11"/>
  <c r="O905" i="11" s="1"/>
  <c r="J924" i="11"/>
  <c r="O924" i="11" s="1"/>
  <c r="M716" i="11"/>
  <c r="N716" i="11" s="1"/>
  <c r="O716" i="11" s="1"/>
  <c r="J723" i="11"/>
  <c r="O723" i="11" s="1"/>
  <c r="J761" i="11"/>
  <c r="O761" i="11" s="1"/>
  <c r="N780" i="11"/>
  <c r="O780" i="11" s="1"/>
  <c r="M831" i="11"/>
  <c r="N831" i="11" s="1"/>
  <c r="O831" i="11" s="1"/>
  <c r="M917" i="11"/>
  <c r="N917" i="11" s="1"/>
  <c r="O917" i="11" s="1"/>
  <c r="M914" i="11"/>
  <c r="N914" i="11" s="1"/>
  <c r="O914" i="11" s="1"/>
  <c r="O747" i="11"/>
  <c r="J735" i="11"/>
  <c r="J754" i="11"/>
  <c r="O754" i="11" s="1"/>
  <c r="N818" i="11"/>
  <c r="O818" i="11" s="1"/>
  <c r="N927" i="11"/>
  <c r="M719" i="11"/>
  <c r="N719" i="11" s="1"/>
  <c r="O719" i="11" s="1"/>
  <c r="M713" i="11"/>
  <c r="N713" i="11" s="1"/>
  <c r="O713" i="11" s="1"/>
  <c r="J729" i="11"/>
  <c r="M748" i="11"/>
  <c r="N748" i="11" s="1"/>
  <c r="O748" i="11" s="1"/>
  <c r="J767" i="11"/>
  <c r="O767" i="11" s="1"/>
  <c r="O832" i="11"/>
  <c r="M906" i="11"/>
  <c r="N906" i="11" s="1"/>
  <c r="O906" i="11" s="1"/>
  <c r="J928" i="11"/>
  <c r="N728" i="11"/>
  <c r="O728" i="11" s="1"/>
  <c r="N766" i="11"/>
  <c r="O766" i="11" s="1"/>
  <c r="J775" i="11"/>
  <c r="O775" i="11" s="1"/>
  <c r="J789" i="11"/>
  <c r="O789" i="11" s="1"/>
  <c r="N826" i="11"/>
  <c r="O843" i="11"/>
  <c r="M715" i="11"/>
  <c r="N715" i="11" s="1"/>
  <c r="O715" i="11" s="1"/>
  <c r="J755" i="11"/>
  <c r="J793" i="11"/>
  <c r="O793" i="11" s="1"/>
  <c r="O823" i="11"/>
  <c r="O920" i="11"/>
  <c r="J925" i="11"/>
  <c r="O925" i="11" s="1"/>
  <c r="O751" i="11"/>
  <c r="O781" i="11"/>
  <c r="O816" i="11"/>
  <c r="O860" i="11"/>
  <c r="O870" i="11"/>
  <c r="J911" i="11"/>
  <c r="O911" i="11" s="1"/>
  <c r="M916" i="11"/>
  <c r="N916" i="11" s="1"/>
  <c r="O916" i="11" s="1"/>
  <c r="M913" i="11"/>
  <c r="N913" i="11" s="1"/>
  <c r="O913" i="11" s="1"/>
  <c r="N755" i="11"/>
  <c r="O755" i="11" s="1"/>
  <c r="M718" i="11"/>
  <c r="N718" i="11" s="1"/>
  <c r="O718" i="11" s="1"/>
  <c r="J737" i="11"/>
  <c r="O737" i="11" s="1"/>
  <c r="J776" i="11"/>
  <c r="O776" i="11" s="1"/>
  <c r="J790" i="11"/>
  <c r="O846" i="11"/>
  <c r="O861" i="11"/>
  <c r="N752" i="11"/>
  <c r="O752" i="11" s="1"/>
  <c r="O835" i="11" l="1"/>
  <c r="O729" i="11"/>
  <c r="O824" i="11"/>
  <c r="O900" i="11"/>
  <c r="O865" i="11"/>
  <c r="O790" i="11"/>
  <c r="O853" i="11"/>
  <c r="O928" i="11"/>
  <c r="P908" i="11" s="1"/>
  <c r="O851" i="11"/>
  <c r="O827" i="11"/>
  <c r="P882" i="11"/>
  <c r="O735" i="11"/>
  <c r="O927" i="11"/>
  <c r="O826" i="11"/>
  <c r="P797" i="11" s="1"/>
  <c r="O787" i="11"/>
  <c r="P707" i="11" s="1"/>
  <c r="P902" i="11"/>
  <c r="A707" i="11" l="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0" i="11"/>
  <c r="L689" i="11"/>
  <c r="L686" i="11"/>
  <c r="L685" i="11"/>
  <c r="L684" i="11"/>
  <c r="L683" i="11"/>
  <c r="L682" i="11"/>
  <c r="L681" i="11"/>
  <c r="L678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2" i="11"/>
  <c r="L651" i="11"/>
  <c r="L650" i="11"/>
  <c r="L649" i="11"/>
  <c r="L648" i="11"/>
  <c r="L647" i="11"/>
  <c r="L646" i="11"/>
  <c r="L645" i="11"/>
  <c r="L644" i="11"/>
  <c r="L643" i="11"/>
  <c r="L642" i="11"/>
  <c r="L638" i="11"/>
  <c r="L637" i="11"/>
  <c r="L636" i="11"/>
  <c r="L635" i="11"/>
  <c r="L634" i="11"/>
  <c r="L630" i="11"/>
  <c r="L631" i="11"/>
  <c r="L629" i="11"/>
  <c r="A706" i="11"/>
  <c r="A692" i="11"/>
  <c r="A691" i="11"/>
  <c r="A688" i="11"/>
  <c r="A687" i="11"/>
  <c r="A680" i="11"/>
  <c r="A679" i="11"/>
  <c r="A677" i="11"/>
  <c r="A676" i="11"/>
  <c r="A675" i="11"/>
  <c r="A654" i="11"/>
  <c r="A653" i="11"/>
  <c r="A641" i="11"/>
  <c r="A640" i="11"/>
  <c r="A639" i="11"/>
  <c r="A633" i="11"/>
  <c r="A632" i="11"/>
  <c r="A628" i="11"/>
  <c r="A627" i="11"/>
  <c r="A626" i="11"/>
  <c r="G705" i="11"/>
  <c r="G704" i="11"/>
  <c r="G703" i="11"/>
  <c r="G702" i="11"/>
  <c r="G701" i="11"/>
  <c r="G700" i="11"/>
  <c r="G699" i="11"/>
  <c r="G698" i="11"/>
  <c r="G697" i="11"/>
  <c r="G696" i="11"/>
  <c r="G695" i="11"/>
  <c r="J695" i="11" s="1"/>
  <c r="G694" i="11"/>
  <c r="G693" i="11"/>
  <c r="G690" i="11"/>
  <c r="G689" i="11"/>
  <c r="G686" i="11"/>
  <c r="G685" i="11"/>
  <c r="G684" i="11"/>
  <c r="G683" i="11"/>
  <c r="G682" i="11"/>
  <c r="G681" i="11"/>
  <c r="G678" i="11"/>
  <c r="G674" i="11"/>
  <c r="J674" i="11" s="1"/>
  <c r="G673" i="11"/>
  <c r="G672" i="11"/>
  <c r="G671" i="11"/>
  <c r="G670" i="11"/>
  <c r="G669" i="11"/>
  <c r="G668" i="11"/>
  <c r="J668" i="11" s="1"/>
  <c r="G667" i="11"/>
  <c r="G666" i="11"/>
  <c r="G665" i="11"/>
  <c r="J665" i="11" s="1"/>
  <c r="G664" i="11"/>
  <c r="J664" i="11" s="1"/>
  <c r="G663" i="11"/>
  <c r="G662" i="11"/>
  <c r="J662" i="11" s="1"/>
  <c r="G661" i="11"/>
  <c r="J661" i="11" s="1"/>
  <c r="G660" i="11"/>
  <c r="G659" i="11"/>
  <c r="G658" i="11"/>
  <c r="G657" i="11"/>
  <c r="G656" i="11"/>
  <c r="J656" i="11" s="1"/>
  <c r="G655" i="11"/>
  <c r="J655" i="11" s="1"/>
  <c r="G652" i="11"/>
  <c r="J652" i="11" s="1"/>
  <c r="G651" i="11"/>
  <c r="G650" i="11"/>
  <c r="G649" i="11"/>
  <c r="G648" i="11"/>
  <c r="J648" i="11" s="1"/>
  <c r="G647" i="11"/>
  <c r="G646" i="11"/>
  <c r="G645" i="11"/>
  <c r="J645" i="11" s="1"/>
  <c r="G644" i="11"/>
  <c r="J644" i="11" s="1"/>
  <c r="G643" i="11"/>
  <c r="G642" i="11"/>
  <c r="G638" i="11"/>
  <c r="G637" i="11"/>
  <c r="G636" i="11"/>
  <c r="G635" i="11"/>
  <c r="G634" i="11"/>
  <c r="G631" i="11"/>
  <c r="J631" i="11" s="1"/>
  <c r="G630" i="11"/>
  <c r="J630" i="11" s="1"/>
  <c r="G629" i="11"/>
  <c r="A625" i="11"/>
  <c r="L623" i="11"/>
  <c r="L622" i="11"/>
  <c r="L621" i="11"/>
  <c r="L620" i="11"/>
  <c r="L619" i="11"/>
  <c r="L616" i="11"/>
  <c r="L615" i="11"/>
  <c r="A624" i="11"/>
  <c r="A618" i="11"/>
  <c r="A617" i="11"/>
  <c r="A614" i="11"/>
  <c r="A613" i="11"/>
  <c r="E623" i="11"/>
  <c r="G623" i="11" s="1"/>
  <c r="J623" i="11" s="1"/>
  <c r="E622" i="11"/>
  <c r="G622" i="11" s="1"/>
  <c r="E621" i="11"/>
  <c r="G621" i="11" s="1"/>
  <c r="J621" i="11" s="1"/>
  <c r="G620" i="11"/>
  <c r="M620" i="11" s="1"/>
  <c r="G619" i="11"/>
  <c r="M619" i="11" s="1"/>
  <c r="G616" i="11"/>
  <c r="J616" i="11" s="1"/>
  <c r="G615" i="11"/>
  <c r="A612" i="11"/>
  <c r="L601" i="11"/>
  <c r="L602" i="11"/>
  <c r="L603" i="11"/>
  <c r="L604" i="11"/>
  <c r="L605" i="11"/>
  <c r="L606" i="11"/>
  <c r="L607" i="11"/>
  <c r="L608" i="11"/>
  <c r="L609" i="11"/>
  <c r="L610" i="11"/>
  <c r="L600" i="11"/>
  <c r="A611" i="11"/>
  <c r="A599" i="11"/>
  <c r="A598" i="11"/>
  <c r="G610" i="11"/>
  <c r="J610" i="11" s="1"/>
  <c r="G609" i="11"/>
  <c r="J609" i="11" s="1"/>
  <c r="G608" i="11"/>
  <c r="G607" i="11"/>
  <c r="J607" i="11" s="1"/>
  <c r="G606" i="11"/>
  <c r="J606" i="11" s="1"/>
  <c r="G605" i="11"/>
  <c r="G604" i="11"/>
  <c r="G603" i="11"/>
  <c r="G602" i="11"/>
  <c r="J602" i="11" s="1"/>
  <c r="G601" i="11"/>
  <c r="J601" i="11" s="1"/>
  <c r="G600" i="11"/>
  <c r="A597" i="11"/>
  <c r="L589" i="11"/>
  <c r="L590" i="11"/>
  <c r="L591" i="11"/>
  <c r="L592" i="11"/>
  <c r="L593" i="11"/>
  <c r="L594" i="11"/>
  <c r="L595" i="11"/>
  <c r="L588" i="11"/>
  <c r="A596" i="11"/>
  <c r="A587" i="11"/>
  <c r="A586" i="11"/>
  <c r="G595" i="11"/>
  <c r="G594" i="11"/>
  <c r="G593" i="11"/>
  <c r="J593" i="11" s="1"/>
  <c r="G592" i="11"/>
  <c r="G591" i="11"/>
  <c r="G590" i="11"/>
  <c r="J590" i="11" s="1"/>
  <c r="G589" i="11"/>
  <c r="G588" i="11"/>
  <c r="A585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0" i="11"/>
  <c r="L557" i="11"/>
  <c r="L554" i="11"/>
  <c r="L553" i="11"/>
  <c r="L552" i="11"/>
  <c r="L551" i="11"/>
  <c r="L550" i="11"/>
  <c r="L549" i="11"/>
  <c r="L548" i="11"/>
  <c r="L547" i="11"/>
  <c r="L544" i="11"/>
  <c r="L543" i="11"/>
  <c r="L542" i="11"/>
  <c r="L541" i="11"/>
  <c r="L538" i="11"/>
  <c r="L537" i="11"/>
  <c r="L536" i="11"/>
  <c r="L533" i="11"/>
  <c r="L532" i="11"/>
  <c r="L531" i="11"/>
  <c r="L530" i="11"/>
  <c r="L527" i="11"/>
  <c r="L526" i="11"/>
  <c r="L525" i="11"/>
  <c r="L520" i="11"/>
  <c r="L515" i="11"/>
  <c r="L510" i="11"/>
  <c r="L507" i="11"/>
  <c r="L506" i="11"/>
  <c r="L505" i="11"/>
  <c r="L500" i="11"/>
  <c r="L497" i="11"/>
  <c r="L496" i="11"/>
  <c r="L495" i="11"/>
  <c r="L494" i="11"/>
  <c r="L489" i="11"/>
  <c r="L484" i="11"/>
  <c r="L479" i="11"/>
  <c r="L476" i="11"/>
  <c r="L475" i="11"/>
  <c r="L474" i="11"/>
  <c r="L473" i="11"/>
  <c r="L468" i="11"/>
  <c r="L463" i="11"/>
  <c r="L458" i="11"/>
  <c r="L455" i="11"/>
  <c r="L454" i="11"/>
  <c r="L453" i="11"/>
  <c r="L448" i="11"/>
  <c r="L445" i="11"/>
  <c r="L444" i="11"/>
  <c r="L443" i="11"/>
  <c r="L438" i="11"/>
  <c r="L435" i="11"/>
  <c r="L434" i="11"/>
  <c r="L433" i="11"/>
  <c r="L428" i="11"/>
  <c r="L423" i="11"/>
  <c r="L420" i="11"/>
  <c r="L419" i="11"/>
  <c r="L418" i="11"/>
  <c r="L417" i="11"/>
  <c r="L412" i="11"/>
  <c r="L407" i="11"/>
  <c r="L402" i="11"/>
  <c r="L397" i="11"/>
  <c r="L394" i="11"/>
  <c r="L393" i="11"/>
  <c r="L392" i="11"/>
  <c r="L387" i="11"/>
  <c r="L382" i="11"/>
  <c r="A584" i="11"/>
  <c r="A562" i="11"/>
  <c r="A561" i="11"/>
  <c r="A559" i="11"/>
  <c r="A558" i="11"/>
  <c r="A556" i="11"/>
  <c r="A555" i="11"/>
  <c r="A546" i="11"/>
  <c r="A545" i="11"/>
  <c r="A540" i="11"/>
  <c r="A539" i="11"/>
  <c r="A535" i="11"/>
  <c r="A534" i="11"/>
  <c r="A529" i="11"/>
  <c r="A528" i="11"/>
  <c r="A524" i="11"/>
  <c r="A523" i="11"/>
  <c r="A522" i="11"/>
  <c r="A521" i="11"/>
  <c r="A519" i="11"/>
  <c r="A518" i="11"/>
  <c r="A517" i="11"/>
  <c r="A516" i="11"/>
  <c r="A514" i="11"/>
  <c r="A513" i="11"/>
  <c r="A512" i="11"/>
  <c r="A511" i="11"/>
  <c r="A509" i="11"/>
  <c r="A508" i="11"/>
  <c r="A504" i="11"/>
  <c r="A503" i="11"/>
  <c r="A502" i="11"/>
  <c r="A501" i="11"/>
  <c r="A499" i="11"/>
  <c r="A498" i="11"/>
  <c r="A493" i="11"/>
  <c r="A492" i="11"/>
  <c r="A491" i="11"/>
  <c r="A490" i="11"/>
  <c r="A488" i="11"/>
  <c r="A487" i="11"/>
  <c r="A486" i="11"/>
  <c r="A485" i="11"/>
  <c r="A483" i="11"/>
  <c r="A482" i="11"/>
  <c r="A481" i="11"/>
  <c r="A480" i="11"/>
  <c r="A478" i="11"/>
  <c r="A477" i="11"/>
  <c r="A472" i="11"/>
  <c r="A471" i="11"/>
  <c r="A470" i="11"/>
  <c r="A469" i="11"/>
  <c r="A467" i="11"/>
  <c r="A466" i="11"/>
  <c r="A465" i="11"/>
  <c r="A464" i="11"/>
  <c r="A462" i="11"/>
  <c r="A461" i="11"/>
  <c r="A460" i="11"/>
  <c r="A459" i="11"/>
  <c r="A457" i="11"/>
  <c r="A456" i="11"/>
  <c r="A452" i="11"/>
  <c r="A451" i="11"/>
  <c r="A450" i="11"/>
  <c r="A449" i="11"/>
  <c r="A447" i="11"/>
  <c r="A446" i="11"/>
  <c r="A442" i="11"/>
  <c r="A441" i="11"/>
  <c r="A440" i="11"/>
  <c r="A439" i="11"/>
  <c r="A437" i="11"/>
  <c r="A436" i="11"/>
  <c r="A432" i="11"/>
  <c r="A431" i="11"/>
  <c r="A430" i="11"/>
  <c r="A429" i="11"/>
  <c r="A427" i="11"/>
  <c r="A426" i="11"/>
  <c r="A425" i="11"/>
  <c r="A424" i="11"/>
  <c r="A422" i="11"/>
  <c r="A421" i="11"/>
  <c r="A416" i="11"/>
  <c r="A415" i="11"/>
  <c r="A414" i="11"/>
  <c r="A413" i="11"/>
  <c r="A411" i="11"/>
  <c r="A410" i="11"/>
  <c r="A409" i="11"/>
  <c r="A408" i="11"/>
  <c r="A406" i="11"/>
  <c r="A405" i="11"/>
  <c r="A404" i="11"/>
  <c r="A403" i="11"/>
  <c r="A401" i="11"/>
  <c r="A400" i="11"/>
  <c r="A399" i="11"/>
  <c r="A398" i="11"/>
  <c r="A396" i="11"/>
  <c r="A395" i="11"/>
  <c r="A391" i="11"/>
  <c r="A390" i="11"/>
  <c r="A389" i="11"/>
  <c r="A388" i="11"/>
  <c r="A386" i="11"/>
  <c r="A385" i="11"/>
  <c r="A384" i="11"/>
  <c r="A383" i="11"/>
  <c r="A381" i="11"/>
  <c r="A380" i="11"/>
  <c r="A379" i="11"/>
  <c r="G583" i="11"/>
  <c r="G582" i="11"/>
  <c r="J582" i="11" s="1"/>
  <c r="G581" i="11"/>
  <c r="G580" i="11"/>
  <c r="G579" i="11"/>
  <c r="G578" i="11"/>
  <c r="G577" i="11"/>
  <c r="J577" i="11" s="1"/>
  <c r="G576" i="11"/>
  <c r="G575" i="11"/>
  <c r="G574" i="11"/>
  <c r="G573" i="11"/>
  <c r="J573" i="11" s="1"/>
  <c r="G572" i="11"/>
  <c r="G571" i="11"/>
  <c r="G570" i="11"/>
  <c r="G569" i="11"/>
  <c r="G568" i="11"/>
  <c r="G567" i="11"/>
  <c r="G566" i="11"/>
  <c r="J566" i="11" s="1"/>
  <c r="G565" i="11"/>
  <c r="G564" i="11"/>
  <c r="G563" i="11"/>
  <c r="J563" i="11" s="1"/>
  <c r="G560" i="11"/>
  <c r="J560" i="11" s="1"/>
  <c r="G557" i="11"/>
  <c r="G554" i="11"/>
  <c r="G553" i="11"/>
  <c r="G552" i="11"/>
  <c r="J552" i="11" s="1"/>
  <c r="G551" i="11"/>
  <c r="G550" i="11"/>
  <c r="G549" i="11"/>
  <c r="J549" i="11" s="1"/>
  <c r="G548" i="11"/>
  <c r="G547" i="11"/>
  <c r="G544" i="11"/>
  <c r="J544" i="11" s="1"/>
  <c r="G543" i="11"/>
  <c r="J543" i="11" s="1"/>
  <c r="G542" i="11"/>
  <c r="G541" i="11"/>
  <c r="G538" i="11"/>
  <c r="J538" i="11" s="1"/>
  <c r="G537" i="11"/>
  <c r="G536" i="11"/>
  <c r="J536" i="11" s="1"/>
  <c r="G533" i="11"/>
  <c r="G532" i="11"/>
  <c r="J532" i="11" s="1"/>
  <c r="G531" i="11"/>
  <c r="G530" i="11"/>
  <c r="G527" i="11"/>
  <c r="E526" i="11"/>
  <c r="G526" i="11" s="1"/>
  <c r="G525" i="11"/>
  <c r="G520" i="11"/>
  <c r="G515" i="11"/>
  <c r="G510" i="11"/>
  <c r="E507" i="11"/>
  <c r="G507" i="11" s="1"/>
  <c r="J507" i="11" s="1"/>
  <c r="G506" i="11"/>
  <c r="G505" i="11"/>
  <c r="J505" i="11" s="1"/>
  <c r="G500" i="11"/>
  <c r="G497" i="11"/>
  <c r="E496" i="11"/>
  <c r="G496" i="11" s="1"/>
  <c r="G495" i="11"/>
  <c r="J495" i="11" s="1"/>
  <c r="G494" i="11"/>
  <c r="E489" i="11"/>
  <c r="G489" i="11" s="1"/>
  <c r="G484" i="11"/>
  <c r="J484" i="11" s="1"/>
  <c r="G479" i="11"/>
  <c r="G476" i="11"/>
  <c r="E475" i="11"/>
  <c r="G475" i="11" s="1"/>
  <c r="G474" i="11"/>
  <c r="G473" i="11"/>
  <c r="E468" i="11"/>
  <c r="G468" i="11" s="1"/>
  <c r="J468" i="11" s="1"/>
  <c r="G463" i="11"/>
  <c r="G458" i="11"/>
  <c r="G455" i="11"/>
  <c r="E454" i="11"/>
  <c r="G454" i="11" s="1"/>
  <c r="J454" i="11" s="1"/>
  <c r="G453" i="11"/>
  <c r="G448" i="11"/>
  <c r="J448" i="11" s="1"/>
  <c r="G445" i="11"/>
  <c r="E445" i="11"/>
  <c r="G444" i="11"/>
  <c r="G443" i="11"/>
  <c r="G438" i="11"/>
  <c r="E435" i="11"/>
  <c r="G435" i="11" s="1"/>
  <c r="G434" i="11"/>
  <c r="J434" i="11" s="1"/>
  <c r="G433" i="11"/>
  <c r="J433" i="11" s="1"/>
  <c r="G428" i="11"/>
  <c r="G423" i="11"/>
  <c r="G420" i="11"/>
  <c r="J420" i="11" s="1"/>
  <c r="E419" i="11"/>
  <c r="G419" i="11" s="1"/>
  <c r="J419" i="11" s="1"/>
  <c r="G418" i="11"/>
  <c r="G417" i="11"/>
  <c r="E412" i="11"/>
  <c r="G412" i="11" s="1"/>
  <c r="G407" i="11"/>
  <c r="G402" i="11"/>
  <c r="J402" i="11" s="1"/>
  <c r="G397" i="11"/>
  <c r="G394" i="11"/>
  <c r="J394" i="11" s="1"/>
  <c r="E393" i="11"/>
  <c r="G393" i="11" s="1"/>
  <c r="G392" i="11"/>
  <c r="G387" i="11"/>
  <c r="G382" i="11"/>
  <c r="A378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1" i="11"/>
  <c r="L360" i="11"/>
  <c r="L359" i="11"/>
  <c r="L358" i="11"/>
  <c r="L357" i="11"/>
  <c r="L356" i="11"/>
  <c r="L355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29" i="11"/>
  <c r="A377" i="11"/>
  <c r="A363" i="11"/>
  <c r="A362" i="11"/>
  <c r="A353" i="11"/>
  <c r="A328" i="11"/>
  <c r="A327" i="11"/>
  <c r="G376" i="11"/>
  <c r="G375" i="11"/>
  <c r="G374" i="11"/>
  <c r="J374" i="11" s="1"/>
  <c r="G373" i="11"/>
  <c r="J373" i="11" s="1"/>
  <c r="G372" i="11"/>
  <c r="J372" i="11" s="1"/>
  <c r="G371" i="11"/>
  <c r="G370" i="11"/>
  <c r="G369" i="11"/>
  <c r="G368" i="11"/>
  <c r="J368" i="11" s="1"/>
  <c r="G367" i="11"/>
  <c r="G366" i="11"/>
  <c r="G365" i="11"/>
  <c r="J365" i="11" s="1"/>
  <c r="G364" i="11"/>
  <c r="J364" i="11" s="1"/>
  <c r="G361" i="11"/>
  <c r="G360" i="11"/>
  <c r="J360" i="11" s="1"/>
  <c r="G359" i="11"/>
  <c r="M359" i="11" s="1"/>
  <c r="G358" i="11"/>
  <c r="M358" i="11" s="1"/>
  <c r="G357" i="11"/>
  <c r="M357" i="11" s="1"/>
  <c r="G356" i="11"/>
  <c r="M356" i="11" s="1"/>
  <c r="N356" i="11" s="1"/>
  <c r="G355" i="11"/>
  <c r="M355" i="11" s="1"/>
  <c r="G352" i="11"/>
  <c r="G351" i="11"/>
  <c r="M351" i="11" s="1"/>
  <c r="G350" i="11"/>
  <c r="J350" i="11" s="1"/>
  <c r="G349" i="11"/>
  <c r="J349" i="11" s="1"/>
  <c r="G348" i="11"/>
  <c r="M348" i="11" s="1"/>
  <c r="N348" i="11" s="1"/>
  <c r="G347" i="11"/>
  <c r="J347" i="11" s="1"/>
  <c r="G346" i="11"/>
  <c r="J346" i="11" s="1"/>
  <c r="G345" i="11"/>
  <c r="J345" i="11" s="1"/>
  <c r="G344" i="11"/>
  <c r="J344" i="11" s="1"/>
  <c r="G343" i="11"/>
  <c r="J343" i="11" s="1"/>
  <c r="G342" i="11"/>
  <c r="J342" i="11" s="1"/>
  <c r="G341" i="11"/>
  <c r="M341" i="11" s="1"/>
  <c r="G340" i="11"/>
  <c r="M340" i="11" s="1"/>
  <c r="G339" i="11"/>
  <c r="J339" i="11" s="1"/>
  <c r="G338" i="11"/>
  <c r="J338" i="11" s="1"/>
  <c r="G337" i="11"/>
  <c r="J337" i="11" s="1"/>
  <c r="G336" i="11"/>
  <c r="J336" i="11" s="1"/>
  <c r="G335" i="11"/>
  <c r="M335" i="11" s="1"/>
  <c r="G334" i="11"/>
  <c r="M334" i="11" s="1"/>
  <c r="G333" i="11"/>
  <c r="M333" i="11" s="1"/>
  <c r="G332" i="11"/>
  <c r="M332" i="11" s="1"/>
  <c r="G331" i="11"/>
  <c r="J331" i="11" s="1"/>
  <c r="G330" i="11"/>
  <c r="J330" i="11" s="1"/>
  <c r="G329" i="11"/>
  <c r="J329" i="11" s="1"/>
  <c r="A326" i="11"/>
  <c r="L324" i="11"/>
  <c r="L323" i="11"/>
  <c r="L322" i="11"/>
  <c r="L321" i="11"/>
  <c r="L320" i="11"/>
  <c r="L319" i="11"/>
  <c r="L316" i="11"/>
  <c r="L315" i="11"/>
  <c r="L314" i="11"/>
  <c r="L313" i="11"/>
  <c r="L312" i="11"/>
  <c r="L302" i="11"/>
  <c r="L303" i="11"/>
  <c r="L304" i="11"/>
  <c r="L305" i="11"/>
  <c r="L306" i="11"/>
  <c r="L307" i="11"/>
  <c r="L308" i="11"/>
  <c r="L309" i="11"/>
  <c r="L301" i="11"/>
  <c r="A325" i="11"/>
  <c r="A318" i="11"/>
  <c r="A317" i="11"/>
  <c r="A311" i="11"/>
  <c r="A310" i="11"/>
  <c r="A300" i="11"/>
  <c r="A299" i="11"/>
  <c r="A298" i="11"/>
  <c r="G324" i="11"/>
  <c r="M324" i="11" s="1"/>
  <c r="G323" i="11"/>
  <c r="M323" i="11" s="1"/>
  <c r="G322" i="11"/>
  <c r="J322" i="11" s="1"/>
  <c r="G321" i="11"/>
  <c r="M321" i="11" s="1"/>
  <c r="G320" i="11"/>
  <c r="J320" i="11" s="1"/>
  <c r="G319" i="11"/>
  <c r="J319" i="11" s="1"/>
  <c r="G316" i="11"/>
  <c r="G315" i="11"/>
  <c r="M315" i="11" s="1"/>
  <c r="G314" i="11"/>
  <c r="M314" i="11" s="1"/>
  <c r="N314" i="11" s="1"/>
  <c r="G313" i="11"/>
  <c r="M313" i="11" s="1"/>
  <c r="N313" i="11" s="1"/>
  <c r="G312" i="11"/>
  <c r="J312" i="11" s="1"/>
  <c r="G309" i="11"/>
  <c r="M309" i="11" s="1"/>
  <c r="E308" i="11"/>
  <c r="G308" i="11" s="1"/>
  <c r="J308" i="11" s="1"/>
  <c r="E307" i="11"/>
  <c r="G307" i="11" s="1"/>
  <c r="E306" i="11"/>
  <c r="G306" i="11" s="1"/>
  <c r="E305" i="11"/>
  <c r="G305" i="11" s="1"/>
  <c r="E304" i="11"/>
  <c r="G304" i="11" s="1"/>
  <c r="J304" i="11" s="1"/>
  <c r="G303" i="11"/>
  <c r="J303" i="11" s="1"/>
  <c r="E302" i="11"/>
  <c r="G302" i="11" s="1"/>
  <c r="E301" i="11"/>
  <c r="G301" i="11" s="1"/>
  <c r="A297" i="11"/>
  <c r="L295" i="11"/>
  <c r="L292" i="11"/>
  <c r="L291" i="11"/>
  <c r="L290" i="11"/>
  <c r="L289" i="11"/>
  <c r="L288" i="11"/>
  <c r="L287" i="11"/>
  <c r="L286" i="11"/>
  <c r="L283" i="11"/>
  <c r="L282" i="11"/>
  <c r="L281" i="11"/>
  <c r="L277" i="11"/>
  <c r="L276" i="11"/>
  <c r="L272" i="11"/>
  <c r="L271" i="11"/>
  <c r="L268" i="11"/>
  <c r="L267" i="11"/>
  <c r="L263" i="11"/>
  <c r="L260" i="11"/>
  <c r="L256" i="11"/>
  <c r="L253" i="11"/>
  <c r="L249" i="11"/>
  <c r="L248" i="11"/>
  <c r="L247" i="11"/>
  <c r="L246" i="11"/>
  <c r="L245" i="11"/>
  <c r="L244" i="11"/>
  <c r="L243" i="11"/>
  <c r="L240" i="11"/>
  <c r="L239" i="11"/>
  <c r="L238" i="11"/>
  <c r="L237" i="11"/>
  <c r="L236" i="11"/>
  <c r="L235" i="11"/>
  <c r="L234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1" i="11"/>
  <c r="L212" i="11"/>
  <c r="L213" i="11"/>
  <c r="L214" i="11"/>
  <c r="L210" i="11"/>
  <c r="A296" i="11"/>
  <c r="A294" i="11"/>
  <c r="A293" i="11"/>
  <c r="A285" i="11"/>
  <c r="A284" i="11"/>
  <c r="A280" i="11"/>
  <c r="A279" i="11"/>
  <c r="A278" i="11"/>
  <c r="A275" i="11"/>
  <c r="A274" i="11"/>
  <c r="A273" i="11"/>
  <c r="A270" i="11"/>
  <c r="A269" i="11"/>
  <c r="A266" i="11"/>
  <c r="A265" i="11"/>
  <c r="A264" i="11"/>
  <c r="A262" i="11"/>
  <c r="A261" i="11"/>
  <c r="A259" i="11"/>
  <c r="A258" i="11"/>
  <c r="A257" i="11"/>
  <c r="A255" i="11"/>
  <c r="A254" i="11"/>
  <c r="A252" i="11"/>
  <c r="A251" i="11"/>
  <c r="A250" i="11"/>
  <c r="A242" i="11"/>
  <c r="A241" i="11"/>
  <c r="A233" i="11"/>
  <c r="A232" i="11"/>
  <c r="A217" i="11"/>
  <c r="A216" i="11"/>
  <c r="A215" i="11"/>
  <c r="A209" i="11"/>
  <c r="A208" i="11"/>
  <c r="A207" i="11"/>
  <c r="G295" i="11"/>
  <c r="J295" i="11" s="1"/>
  <c r="G292" i="11"/>
  <c r="M292" i="11" s="1"/>
  <c r="G291" i="11"/>
  <c r="M291" i="11" s="1"/>
  <c r="G290" i="11"/>
  <c r="J290" i="11" s="1"/>
  <c r="G289" i="11"/>
  <c r="J289" i="11" s="1"/>
  <c r="G288" i="11"/>
  <c r="M288" i="11" s="1"/>
  <c r="N288" i="11" s="1"/>
  <c r="G287" i="11"/>
  <c r="M287" i="11" s="1"/>
  <c r="N287" i="11" s="1"/>
  <c r="G286" i="11"/>
  <c r="M286" i="11" s="1"/>
  <c r="N286" i="11" s="1"/>
  <c r="G283" i="11"/>
  <c r="M283" i="11" s="1"/>
  <c r="G282" i="11"/>
  <c r="M282" i="11" s="1"/>
  <c r="G281" i="11"/>
  <c r="J281" i="11" s="1"/>
  <c r="G277" i="11"/>
  <c r="G276" i="11"/>
  <c r="M276" i="11" s="1"/>
  <c r="G272" i="11"/>
  <c r="M272" i="11" s="1"/>
  <c r="N272" i="11" s="1"/>
  <c r="G271" i="11"/>
  <c r="J271" i="11" s="1"/>
  <c r="G268" i="11"/>
  <c r="M268" i="11" s="1"/>
  <c r="G267" i="11"/>
  <c r="M267" i="11" s="1"/>
  <c r="N267" i="11" s="1"/>
  <c r="G263" i="11"/>
  <c r="J263" i="11" s="1"/>
  <c r="G260" i="11"/>
  <c r="J260" i="11" s="1"/>
  <c r="G256" i="11"/>
  <c r="M256" i="11" s="1"/>
  <c r="N256" i="11" s="1"/>
  <c r="G253" i="11"/>
  <c r="M253" i="11" s="1"/>
  <c r="G249" i="11"/>
  <c r="J249" i="11" s="1"/>
  <c r="G248" i="11"/>
  <c r="J248" i="11" s="1"/>
  <c r="G247" i="11"/>
  <c r="G246" i="11"/>
  <c r="M246" i="11" s="1"/>
  <c r="N246" i="11" s="1"/>
  <c r="G245" i="11"/>
  <c r="J245" i="11" s="1"/>
  <c r="G244" i="11"/>
  <c r="M244" i="11" s="1"/>
  <c r="G243" i="11"/>
  <c r="M243" i="11" s="1"/>
  <c r="N243" i="11" s="1"/>
  <c r="G240" i="11"/>
  <c r="M240" i="11" s="1"/>
  <c r="N240" i="11" s="1"/>
  <c r="G239" i="11"/>
  <c r="M239" i="11" s="1"/>
  <c r="N239" i="11" s="1"/>
  <c r="G238" i="11"/>
  <c r="M238" i="11" s="1"/>
  <c r="N238" i="11" s="1"/>
  <c r="G237" i="11"/>
  <c r="M237" i="11" s="1"/>
  <c r="N237" i="11" s="1"/>
  <c r="G236" i="11"/>
  <c r="J236" i="11" s="1"/>
  <c r="G235" i="11"/>
  <c r="M235" i="11" s="1"/>
  <c r="G234" i="11"/>
  <c r="M234" i="11" s="1"/>
  <c r="G231" i="11"/>
  <c r="M231" i="11" s="1"/>
  <c r="N231" i="11" s="1"/>
  <c r="G230" i="11"/>
  <c r="M230" i="11" s="1"/>
  <c r="G229" i="11"/>
  <c r="M229" i="11" s="1"/>
  <c r="N229" i="11" s="1"/>
  <c r="G228" i="11"/>
  <c r="M228" i="11" s="1"/>
  <c r="N228" i="11" s="1"/>
  <c r="G227" i="11"/>
  <c r="J227" i="11" s="1"/>
  <c r="G226" i="11"/>
  <c r="M226" i="11" s="1"/>
  <c r="G225" i="11"/>
  <c r="M225" i="11" s="1"/>
  <c r="G224" i="11"/>
  <c r="J224" i="11" s="1"/>
  <c r="G223" i="11"/>
  <c r="J223" i="11" s="1"/>
  <c r="G222" i="11"/>
  <c r="M222" i="11" s="1"/>
  <c r="G221" i="11"/>
  <c r="M221" i="11" s="1"/>
  <c r="G220" i="11"/>
  <c r="J220" i="11" s="1"/>
  <c r="G219" i="11"/>
  <c r="G218" i="11"/>
  <c r="M218" i="11" s="1"/>
  <c r="G214" i="11"/>
  <c r="J214" i="11" s="1"/>
  <c r="G213" i="11"/>
  <c r="J213" i="11" s="1"/>
  <c r="G212" i="11"/>
  <c r="J212" i="11" s="1"/>
  <c r="G211" i="11"/>
  <c r="J211" i="11" s="1"/>
  <c r="G210" i="11"/>
  <c r="M210" i="11" s="1"/>
  <c r="A206" i="11"/>
  <c r="L204" i="11"/>
  <c r="L201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66" i="11"/>
  <c r="A205" i="11"/>
  <c r="A203" i="11"/>
  <c r="A202" i="11"/>
  <c r="A200" i="11"/>
  <c r="A199" i="11"/>
  <c r="A165" i="11"/>
  <c r="A164" i="11"/>
  <c r="A163" i="11"/>
  <c r="G204" i="11"/>
  <c r="M204" i="11" s="1"/>
  <c r="G201" i="11"/>
  <c r="J201" i="11" s="1"/>
  <c r="G198" i="11"/>
  <c r="M198" i="11" s="1"/>
  <c r="N198" i="11" s="1"/>
  <c r="G197" i="11"/>
  <c r="G196" i="11"/>
  <c r="J196" i="11" s="1"/>
  <c r="G195" i="11"/>
  <c r="J195" i="11" s="1"/>
  <c r="G194" i="11"/>
  <c r="J194" i="11" s="1"/>
  <c r="G193" i="11"/>
  <c r="J193" i="11" s="1"/>
  <c r="G192" i="11"/>
  <c r="J192" i="11" s="1"/>
  <c r="G191" i="11"/>
  <c r="M191" i="11" s="1"/>
  <c r="G190" i="11"/>
  <c r="J190" i="11" s="1"/>
  <c r="G189" i="11"/>
  <c r="M189" i="11" s="1"/>
  <c r="G188" i="11"/>
  <c r="J188" i="11" s="1"/>
  <c r="G187" i="11"/>
  <c r="M187" i="11" s="1"/>
  <c r="N187" i="11" s="1"/>
  <c r="G186" i="11"/>
  <c r="J186" i="11" s="1"/>
  <c r="G185" i="11"/>
  <c r="G184" i="11"/>
  <c r="J184" i="11" s="1"/>
  <c r="G183" i="11"/>
  <c r="J183" i="11" s="1"/>
  <c r="G182" i="11"/>
  <c r="J182" i="11" s="1"/>
  <c r="G181" i="11"/>
  <c r="M181" i="11" s="1"/>
  <c r="G180" i="11"/>
  <c r="M180" i="11" s="1"/>
  <c r="G179" i="11"/>
  <c r="M179" i="11" s="1"/>
  <c r="N179" i="11" s="1"/>
  <c r="G178" i="11"/>
  <c r="J178" i="11" s="1"/>
  <c r="G177" i="11"/>
  <c r="M177" i="11" s="1"/>
  <c r="N177" i="11" s="1"/>
  <c r="G176" i="11"/>
  <c r="M176" i="11" s="1"/>
  <c r="N176" i="11" s="1"/>
  <c r="G175" i="11"/>
  <c r="M175" i="11" s="1"/>
  <c r="N175" i="11" s="1"/>
  <c r="G174" i="11"/>
  <c r="J174" i="11" s="1"/>
  <c r="G173" i="11"/>
  <c r="G172" i="11"/>
  <c r="J172" i="11" s="1"/>
  <c r="G171" i="11"/>
  <c r="J171" i="11" s="1"/>
  <c r="G170" i="11"/>
  <c r="J170" i="11" s="1"/>
  <c r="G169" i="11"/>
  <c r="M169" i="11" s="1"/>
  <c r="G168" i="11"/>
  <c r="J168" i="11" s="1"/>
  <c r="G167" i="11"/>
  <c r="M167" i="11" s="1"/>
  <c r="N167" i="11" s="1"/>
  <c r="G166" i="11"/>
  <c r="M166" i="11" s="1"/>
  <c r="N166" i="11" s="1"/>
  <c r="A162" i="11"/>
  <c r="L160" i="11"/>
  <c r="L159" i="11"/>
  <c r="L158" i="11"/>
  <c r="L155" i="11"/>
  <c r="L154" i="11"/>
  <c r="L153" i="11"/>
  <c r="L152" i="11"/>
  <c r="L151" i="11"/>
  <c r="L150" i="11"/>
  <c r="L147" i="11"/>
  <c r="L146" i="11"/>
  <c r="L145" i="11"/>
  <c r="L144" i="11"/>
  <c r="L143" i="11"/>
  <c r="L142" i="11"/>
  <c r="L138" i="11"/>
  <c r="L137" i="11"/>
  <c r="L136" i="11"/>
  <c r="L135" i="11"/>
  <c r="L134" i="11"/>
  <c r="L133" i="11"/>
  <c r="L130" i="11"/>
  <c r="L129" i="11"/>
  <c r="L128" i="11"/>
  <c r="L127" i="11"/>
  <c r="L126" i="11"/>
  <c r="L125" i="11"/>
  <c r="L122" i="11"/>
  <c r="L121" i="11"/>
  <c r="L120" i="11"/>
  <c r="L119" i="11"/>
  <c r="L118" i="11"/>
  <c r="L117" i="11"/>
  <c r="L114" i="11"/>
  <c r="L113" i="11"/>
  <c r="L112" i="11"/>
  <c r="L111" i="11"/>
  <c r="L110" i="11"/>
  <c r="L109" i="11"/>
  <c r="L106" i="11"/>
  <c r="L105" i="11"/>
  <c r="L104" i="11"/>
  <c r="L103" i="11"/>
  <c r="L102" i="11"/>
  <c r="L101" i="11"/>
  <c r="L98" i="11"/>
  <c r="L97" i="11"/>
  <c r="L96" i="11"/>
  <c r="L95" i="11"/>
  <c r="L94" i="11"/>
  <c r="L93" i="11"/>
  <c r="L89" i="11"/>
  <c r="L88" i="11"/>
  <c r="L87" i="11"/>
  <c r="L86" i="11"/>
  <c r="L85" i="11"/>
  <c r="L84" i="11"/>
  <c r="L81" i="11"/>
  <c r="L80" i="11"/>
  <c r="L79" i="11"/>
  <c r="L78" i="11"/>
  <c r="L77" i="11"/>
  <c r="L76" i="11"/>
  <c r="L73" i="11"/>
  <c r="L70" i="11"/>
  <c r="L69" i="11"/>
  <c r="L68" i="11"/>
  <c r="L67" i="11"/>
  <c r="L66" i="11"/>
  <c r="L65" i="11"/>
  <c r="L62" i="11"/>
  <c r="L61" i="11"/>
  <c r="L60" i="11"/>
  <c r="L59" i="11"/>
  <c r="L58" i="11"/>
  <c r="L57" i="11"/>
  <c r="L54" i="11"/>
  <c r="L53" i="11"/>
  <c r="L50" i="11"/>
  <c r="L49" i="11"/>
  <c r="L48" i="11"/>
  <c r="L47" i="11"/>
  <c r="L46" i="11"/>
  <c r="L45" i="11"/>
  <c r="L42" i="11"/>
  <c r="L41" i="11"/>
  <c r="L40" i="11"/>
  <c r="L39" i="11"/>
  <c r="L38" i="11"/>
  <c r="L37" i="11"/>
  <c r="L30" i="11"/>
  <c r="L31" i="11"/>
  <c r="L32" i="11"/>
  <c r="L33" i="11"/>
  <c r="L34" i="11"/>
  <c r="L29" i="11"/>
  <c r="A161" i="11"/>
  <c r="A157" i="11"/>
  <c r="A156" i="11"/>
  <c r="A148" i="11"/>
  <c r="A140" i="11"/>
  <c r="A139" i="11"/>
  <c r="A131" i="11"/>
  <c r="A123" i="11"/>
  <c r="A115" i="11"/>
  <c r="A107" i="11"/>
  <c r="A99" i="11"/>
  <c r="A91" i="11"/>
  <c r="A90" i="11"/>
  <c r="A82" i="11"/>
  <c r="A74" i="11"/>
  <c r="A71" i="11"/>
  <c r="A63" i="11"/>
  <c r="A55" i="11"/>
  <c r="A51" i="11"/>
  <c r="A43" i="11"/>
  <c r="A35" i="11"/>
  <c r="A27" i="11"/>
  <c r="A26" i="11"/>
  <c r="G160" i="11"/>
  <c r="M160" i="11" s="1"/>
  <c r="G159" i="11"/>
  <c r="M159" i="11" s="1"/>
  <c r="G158" i="11"/>
  <c r="M158" i="11" s="1"/>
  <c r="N158" i="11" s="1"/>
  <c r="E155" i="11"/>
  <c r="G155" i="11" s="1"/>
  <c r="J155" i="11" s="1"/>
  <c r="E153" i="11"/>
  <c r="E154" i="11" s="1"/>
  <c r="G154" i="11" s="1"/>
  <c r="E151" i="11"/>
  <c r="G151" i="11" s="1"/>
  <c r="J151" i="11" s="1"/>
  <c r="E150" i="11"/>
  <c r="G150" i="11" s="1"/>
  <c r="J150" i="11" s="1"/>
  <c r="E147" i="11"/>
  <c r="G147" i="11" s="1"/>
  <c r="M147" i="11" s="1"/>
  <c r="E145" i="11"/>
  <c r="E146" i="11" s="1"/>
  <c r="G146" i="11" s="1"/>
  <c r="J146" i="11" s="1"/>
  <c r="E143" i="11"/>
  <c r="E144" i="11" s="1"/>
  <c r="G144" i="11" s="1"/>
  <c r="M144" i="11" s="1"/>
  <c r="E142" i="11"/>
  <c r="G142" i="11" s="1"/>
  <c r="J142" i="11" s="1"/>
  <c r="E136" i="11"/>
  <c r="E138" i="11" s="1"/>
  <c r="G138" i="11" s="1"/>
  <c r="E135" i="11"/>
  <c r="G135" i="11" s="1"/>
  <c r="J135" i="11" s="1"/>
  <c r="E134" i="11"/>
  <c r="G134" i="11" s="1"/>
  <c r="E133" i="11"/>
  <c r="G133" i="11" s="1"/>
  <c r="E128" i="11"/>
  <c r="E130" i="11" s="1"/>
  <c r="G130" i="11" s="1"/>
  <c r="E127" i="11"/>
  <c r="G127" i="11" s="1"/>
  <c r="E126" i="11"/>
  <c r="G126" i="11" s="1"/>
  <c r="J126" i="11" s="1"/>
  <c r="E125" i="11"/>
  <c r="G125" i="11" s="1"/>
  <c r="E120" i="11"/>
  <c r="E122" i="11" s="1"/>
  <c r="G122" i="11" s="1"/>
  <c r="J122" i="11" s="1"/>
  <c r="E119" i="11"/>
  <c r="G119" i="11" s="1"/>
  <c r="E118" i="11"/>
  <c r="G118" i="11" s="1"/>
  <c r="J118" i="11" s="1"/>
  <c r="E117" i="11"/>
  <c r="G117" i="11" s="1"/>
  <c r="E112" i="11"/>
  <c r="E114" i="11" s="1"/>
  <c r="G114" i="11" s="1"/>
  <c r="E111" i="11"/>
  <c r="G111" i="11" s="1"/>
  <c r="J111" i="11" s="1"/>
  <c r="E110" i="11"/>
  <c r="G110" i="11" s="1"/>
  <c r="E109" i="11"/>
  <c r="G109" i="11" s="1"/>
  <c r="E104" i="11"/>
  <c r="E106" i="11" s="1"/>
  <c r="G106" i="11" s="1"/>
  <c r="J106" i="11" s="1"/>
  <c r="E103" i="11"/>
  <c r="G103" i="11" s="1"/>
  <c r="E102" i="11"/>
  <c r="G102" i="11" s="1"/>
  <c r="E101" i="11"/>
  <c r="G101" i="11" s="1"/>
  <c r="E96" i="11"/>
  <c r="E98" i="11" s="1"/>
  <c r="G98" i="11" s="1"/>
  <c r="J98" i="11" s="1"/>
  <c r="E95" i="11"/>
  <c r="G95" i="11" s="1"/>
  <c r="J95" i="11" s="1"/>
  <c r="E94" i="11"/>
  <c r="G94" i="11" s="1"/>
  <c r="J94" i="11" s="1"/>
  <c r="E93" i="11"/>
  <c r="G93" i="11" s="1"/>
  <c r="E87" i="11"/>
  <c r="E89" i="11" s="1"/>
  <c r="G89" i="11" s="1"/>
  <c r="E86" i="11"/>
  <c r="G86" i="11" s="1"/>
  <c r="J86" i="11" s="1"/>
  <c r="E85" i="11"/>
  <c r="G85" i="11" s="1"/>
  <c r="E84" i="11"/>
  <c r="G84" i="11" s="1"/>
  <c r="E79" i="11"/>
  <c r="E81" i="11" s="1"/>
  <c r="G81" i="11" s="1"/>
  <c r="E78" i="11"/>
  <c r="G78" i="11" s="1"/>
  <c r="J78" i="11" s="1"/>
  <c r="E77" i="11"/>
  <c r="G77" i="11" s="1"/>
  <c r="E76" i="11"/>
  <c r="G76" i="11" s="1"/>
  <c r="E73" i="11"/>
  <c r="G73" i="11" s="1"/>
  <c r="E68" i="11"/>
  <c r="E70" i="11" s="1"/>
  <c r="G70" i="11" s="1"/>
  <c r="E67" i="11"/>
  <c r="G67" i="11" s="1"/>
  <c r="J67" i="11" s="1"/>
  <c r="E66" i="11"/>
  <c r="G66" i="11" s="1"/>
  <c r="J66" i="11" s="1"/>
  <c r="E65" i="11"/>
  <c r="G65" i="11" s="1"/>
  <c r="E60" i="11"/>
  <c r="E62" i="11" s="1"/>
  <c r="G62" i="11" s="1"/>
  <c r="E59" i="11"/>
  <c r="G59" i="11" s="1"/>
  <c r="E58" i="11"/>
  <c r="G58" i="11" s="1"/>
  <c r="J58" i="11" s="1"/>
  <c r="E57" i="11"/>
  <c r="G57" i="11" s="1"/>
  <c r="J57" i="11" s="1"/>
  <c r="E54" i="11"/>
  <c r="G54" i="11" s="1"/>
  <c r="E53" i="11"/>
  <c r="G53" i="11" s="1"/>
  <c r="E48" i="11"/>
  <c r="G48" i="11" s="1"/>
  <c r="E47" i="11"/>
  <c r="G47" i="11" s="1"/>
  <c r="E46" i="11"/>
  <c r="G46" i="11" s="1"/>
  <c r="E45" i="11"/>
  <c r="E40" i="11"/>
  <c r="G40" i="11" s="1"/>
  <c r="J40" i="11" s="1"/>
  <c r="E39" i="11"/>
  <c r="G39" i="11" s="1"/>
  <c r="E38" i="11"/>
  <c r="G38" i="11" s="1"/>
  <c r="E37" i="11"/>
  <c r="E32" i="11"/>
  <c r="G32" i="11" s="1"/>
  <c r="J32" i="11" s="1"/>
  <c r="E31" i="11"/>
  <c r="G31" i="11" s="1"/>
  <c r="E30" i="11"/>
  <c r="G30" i="11" s="1"/>
  <c r="E29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8" i="11"/>
  <c r="A7" i="11"/>
  <c r="A6" i="11"/>
  <c r="G22" i="11"/>
  <c r="G21" i="11"/>
  <c r="M21" i="11" s="1"/>
  <c r="G20" i="11"/>
  <c r="M20" i="11" s="1"/>
  <c r="G19" i="11"/>
  <c r="M19" i="11" s="1"/>
  <c r="N19" i="11" s="1"/>
  <c r="G18" i="11"/>
  <c r="M18" i="11" s="1"/>
  <c r="G17" i="11"/>
  <c r="G16" i="11"/>
  <c r="M16" i="11" s="1"/>
  <c r="N16" i="11" s="1"/>
  <c r="G15" i="11"/>
  <c r="M15" i="11" s="1"/>
  <c r="G14" i="11"/>
  <c r="M14" i="11" s="1"/>
  <c r="G13" i="11"/>
  <c r="J13" i="11" s="1"/>
  <c r="G12" i="11"/>
  <c r="J12" i="11" s="1"/>
  <c r="G11" i="11"/>
  <c r="G10" i="11"/>
  <c r="J10" i="11" s="1"/>
  <c r="G9" i="11"/>
  <c r="J9" i="11" s="1"/>
  <c r="G8" i="11"/>
  <c r="J8" i="11" s="1"/>
  <c r="M76" i="11" l="1"/>
  <c r="J76" i="11"/>
  <c r="M109" i="11"/>
  <c r="N109" i="11" s="1"/>
  <c r="J109" i="11"/>
  <c r="M367" i="11"/>
  <c r="N367" i="11" s="1"/>
  <c r="O367" i="11" s="1"/>
  <c r="J367" i="11"/>
  <c r="M570" i="11"/>
  <c r="J570" i="11"/>
  <c r="M660" i="11"/>
  <c r="N660" i="11" s="1"/>
  <c r="J660" i="11"/>
  <c r="M701" i="11"/>
  <c r="J701" i="11"/>
  <c r="M77" i="11"/>
  <c r="N77" i="11" s="1"/>
  <c r="O77" i="11" s="1"/>
  <c r="J77" i="11"/>
  <c r="M110" i="11"/>
  <c r="J110" i="11"/>
  <c r="M392" i="11"/>
  <c r="N392" i="11" s="1"/>
  <c r="J392" i="11"/>
  <c r="M475" i="11"/>
  <c r="N475" i="11" s="1"/>
  <c r="J475" i="11"/>
  <c r="M669" i="11"/>
  <c r="J669" i="11"/>
  <c r="M694" i="11"/>
  <c r="J694" i="11"/>
  <c r="N181" i="11"/>
  <c r="E439" i="11"/>
  <c r="J438" i="11"/>
  <c r="M580" i="11"/>
  <c r="J580" i="11"/>
  <c r="M608" i="11"/>
  <c r="N608" i="11" s="1"/>
  <c r="O608" i="11" s="1"/>
  <c r="J608" i="11"/>
  <c r="M47" i="11"/>
  <c r="N47" i="11" s="1"/>
  <c r="O47" i="11" s="1"/>
  <c r="J47" i="11"/>
  <c r="M65" i="11"/>
  <c r="J65" i="11"/>
  <c r="M81" i="11"/>
  <c r="J81" i="11"/>
  <c r="M114" i="11"/>
  <c r="N114" i="11" s="1"/>
  <c r="O114" i="11" s="1"/>
  <c r="J114" i="11"/>
  <c r="M130" i="11"/>
  <c r="J130" i="11"/>
  <c r="M370" i="11"/>
  <c r="N370" i="11" s="1"/>
  <c r="J370" i="11"/>
  <c r="M443" i="11"/>
  <c r="N443" i="11" s="1"/>
  <c r="J443" i="11"/>
  <c r="O443" i="11" s="1"/>
  <c r="M455" i="11"/>
  <c r="N455" i="11" s="1"/>
  <c r="J455" i="11"/>
  <c r="E480" i="11"/>
  <c r="E483" i="11" s="1"/>
  <c r="J479" i="11"/>
  <c r="M527" i="11"/>
  <c r="J527" i="11"/>
  <c r="M541" i="11"/>
  <c r="N541" i="11" s="1"/>
  <c r="J541" i="11"/>
  <c r="O541" i="11" s="1"/>
  <c r="M551" i="11"/>
  <c r="N551" i="11" s="1"/>
  <c r="O551" i="11" s="1"/>
  <c r="J551" i="11"/>
  <c r="M565" i="11"/>
  <c r="N565" i="11" s="1"/>
  <c r="J565" i="11"/>
  <c r="M581" i="11"/>
  <c r="N581" i="11" s="1"/>
  <c r="J581" i="11"/>
  <c r="M634" i="11"/>
  <c r="J634" i="11"/>
  <c r="M663" i="11"/>
  <c r="N663" i="11" s="1"/>
  <c r="O663" i="11" s="1"/>
  <c r="J663" i="11"/>
  <c r="M671" i="11"/>
  <c r="N671" i="11" s="1"/>
  <c r="J671" i="11"/>
  <c r="M684" i="11"/>
  <c r="J684" i="11"/>
  <c r="M696" i="11"/>
  <c r="J696" i="11"/>
  <c r="M704" i="11"/>
  <c r="N704" i="11" s="1"/>
  <c r="J704" i="11"/>
  <c r="M48" i="11"/>
  <c r="J48" i="11"/>
  <c r="M84" i="11"/>
  <c r="N84" i="11" s="1"/>
  <c r="J84" i="11"/>
  <c r="M101" i="11"/>
  <c r="N101" i="11" s="1"/>
  <c r="J101" i="11"/>
  <c r="M117" i="11"/>
  <c r="N117" i="11" s="1"/>
  <c r="O117" i="11" s="1"/>
  <c r="J117" i="11"/>
  <c r="M133" i="11"/>
  <c r="N133" i="11" s="1"/>
  <c r="J133" i="11"/>
  <c r="M361" i="11"/>
  <c r="N361" i="11" s="1"/>
  <c r="J361" i="11"/>
  <c r="M371" i="11"/>
  <c r="N371" i="11" s="1"/>
  <c r="J371" i="11"/>
  <c r="O371" i="11" s="1"/>
  <c r="E398" i="11"/>
  <c r="E399" i="11" s="1"/>
  <c r="J397" i="11"/>
  <c r="M444" i="11"/>
  <c r="N444" i="11" s="1"/>
  <c r="J444" i="11"/>
  <c r="E459" i="11"/>
  <c r="J458" i="11"/>
  <c r="M506" i="11"/>
  <c r="J506" i="11"/>
  <c r="M530" i="11"/>
  <c r="N530" i="11" s="1"/>
  <c r="J530" i="11"/>
  <c r="M542" i="11"/>
  <c r="N542" i="11" s="1"/>
  <c r="J542" i="11"/>
  <c r="M574" i="11"/>
  <c r="J574" i="11"/>
  <c r="M594" i="11"/>
  <c r="J594" i="11"/>
  <c r="M615" i="11"/>
  <c r="N615" i="11" s="1"/>
  <c r="O615" i="11" s="1"/>
  <c r="J615" i="11"/>
  <c r="M635" i="11"/>
  <c r="J635" i="11"/>
  <c r="M646" i="11"/>
  <c r="N646" i="11" s="1"/>
  <c r="J646" i="11"/>
  <c r="M672" i="11"/>
  <c r="N672" i="11" s="1"/>
  <c r="J672" i="11"/>
  <c r="O672" i="11" s="1"/>
  <c r="M685" i="11"/>
  <c r="J685" i="11"/>
  <c r="M697" i="11"/>
  <c r="J697" i="11"/>
  <c r="M705" i="11"/>
  <c r="J705" i="11"/>
  <c r="M375" i="11"/>
  <c r="J375" i="11"/>
  <c r="E388" i="11"/>
  <c r="E389" i="11" s="1"/>
  <c r="J387" i="11"/>
  <c r="M453" i="11"/>
  <c r="N453" i="11" s="1"/>
  <c r="J453" i="11"/>
  <c r="M650" i="11"/>
  <c r="J650" i="11"/>
  <c r="M435" i="11"/>
  <c r="J435" i="11"/>
  <c r="M525" i="11"/>
  <c r="N525" i="11" s="1"/>
  <c r="J525" i="11"/>
  <c r="M571" i="11"/>
  <c r="J571" i="11"/>
  <c r="M591" i="11"/>
  <c r="J591" i="11"/>
  <c r="M643" i="11"/>
  <c r="J643" i="11"/>
  <c r="O643" i="11" s="1"/>
  <c r="M62" i="11"/>
  <c r="N62" i="11" s="1"/>
  <c r="J62" i="11"/>
  <c r="N160" i="11"/>
  <c r="N189" i="11"/>
  <c r="M369" i="11"/>
  <c r="N369" i="11" s="1"/>
  <c r="J369" i="11"/>
  <c r="M476" i="11"/>
  <c r="J476" i="11"/>
  <c r="M550" i="11"/>
  <c r="N550" i="11" s="1"/>
  <c r="O550" i="11" s="1"/>
  <c r="J550" i="11"/>
  <c r="M668" i="11"/>
  <c r="N668" i="11" s="1"/>
  <c r="O668" i="11" s="1"/>
  <c r="M53" i="11"/>
  <c r="J53" i="11"/>
  <c r="M85" i="11"/>
  <c r="J85" i="11"/>
  <c r="M102" i="11"/>
  <c r="N102" i="11" s="1"/>
  <c r="O102" i="11" s="1"/>
  <c r="J102" i="11"/>
  <c r="M134" i="11"/>
  <c r="J134" i="11"/>
  <c r="N309" i="11"/>
  <c r="N321" i="11"/>
  <c r="J334" i="11"/>
  <c r="E424" i="11"/>
  <c r="J423" i="11"/>
  <c r="E464" i="11"/>
  <c r="E465" i="11" s="1"/>
  <c r="J463" i="11"/>
  <c r="E490" i="11"/>
  <c r="J489" i="11"/>
  <c r="M531" i="11"/>
  <c r="J531" i="11"/>
  <c r="M553" i="11"/>
  <c r="J553" i="11"/>
  <c r="M567" i="11"/>
  <c r="N567" i="11" s="1"/>
  <c r="J567" i="11"/>
  <c r="M575" i="11"/>
  <c r="N575" i="11" s="1"/>
  <c r="J575" i="11"/>
  <c r="M583" i="11"/>
  <c r="J583" i="11"/>
  <c r="M544" i="11"/>
  <c r="M595" i="11"/>
  <c r="N595" i="11" s="1"/>
  <c r="J595" i="11"/>
  <c r="M603" i="11"/>
  <c r="J603" i="11"/>
  <c r="M636" i="11"/>
  <c r="J636" i="11"/>
  <c r="M647" i="11"/>
  <c r="N647" i="11" s="1"/>
  <c r="J647" i="11"/>
  <c r="M657" i="11"/>
  <c r="N657" i="11" s="1"/>
  <c r="O657" i="11" s="1"/>
  <c r="J657" i="11"/>
  <c r="M673" i="11"/>
  <c r="J673" i="11"/>
  <c r="M686" i="11"/>
  <c r="J686" i="11"/>
  <c r="M698" i="11"/>
  <c r="N698" i="11" s="1"/>
  <c r="J698" i="11"/>
  <c r="M125" i="11"/>
  <c r="N125" i="11" s="1"/>
  <c r="O125" i="11" s="1"/>
  <c r="J125" i="11"/>
  <c r="M496" i="11"/>
  <c r="N496" i="11" s="1"/>
  <c r="J496" i="11"/>
  <c r="M629" i="11"/>
  <c r="N629" i="11" s="1"/>
  <c r="J629" i="11"/>
  <c r="M681" i="11"/>
  <c r="J681" i="11"/>
  <c r="M651" i="11"/>
  <c r="N651" i="11" s="1"/>
  <c r="J651" i="11"/>
  <c r="O651" i="11" s="1"/>
  <c r="M393" i="11"/>
  <c r="J393" i="11"/>
  <c r="E501" i="11"/>
  <c r="J500" i="11"/>
  <c r="M564" i="11"/>
  <c r="J564" i="11"/>
  <c r="M592" i="11"/>
  <c r="N592" i="11" s="1"/>
  <c r="J592" i="11"/>
  <c r="M600" i="11"/>
  <c r="J600" i="11"/>
  <c r="M683" i="11"/>
  <c r="J683" i="11"/>
  <c r="J19" i="11"/>
  <c r="M38" i="11"/>
  <c r="J38" i="11"/>
  <c r="M54" i="11"/>
  <c r="N54" i="11" s="1"/>
  <c r="J54" i="11"/>
  <c r="M70" i="11"/>
  <c r="N70" i="11" s="1"/>
  <c r="J70" i="11"/>
  <c r="M103" i="11"/>
  <c r="N103" i="11" s="1"/>
  <c r="J103" i="11"/>
  <c r="M119" i="11"/>
  <c r="N119" i="11" s="1"/>
  <c r="J119" i="11"/>
  <c r="M154" i="11"/>
  <c r="N154" i="11" s="1"/>
  <c r="O154" i="11" s="1"/>
  <c r="J154" i="11"/>
  <c r="N244" i="11"/>
  <c r="N291" i="11"/>
  <c r="N355" i="11"/>
  <c r="E408" i="11"/>
  <c r="J407" i="11"/>
  <c r="E429" i="11"/>
  <c r="E432" i="11" s="1"/>
  <c r="J428" i="11"/>
  <c r="M445" i="11"/>
  <c r="J445" i="11"/>
  <c r="M494" i="11"/>
  <c r="N494" i="11" s="1"/>
  <c r="J494" i="11"/>
  <c r="E511" i="11"/>
  <c r="E513" i="11" s="1"/>
  <c r="J510" i="11"/>
  <c r="M554" i="11"/>
  <c r="N554" i="11" s="1"/>
  <c r="O554" i="11" s="1"/>
  <c r="J554" i="11"/>
  <c r="M568" i="11"/>
  <c r="J568" i="11"/>
  <c r="M576" i="11"/>
  <c r="J576" i="11"/>
  <c r="M588" i="11"/>
  <c r="J588" i="11"/>
  <c r="M604" i="11"/>
  <c r="N604" i="11" s="1"/>
  <c r="O604" i="11" s="1"/>
  <c r="J604" i="11"/>
  <c r="M637" i="11"/>
  <c r="N637" i="11" s="1"/>
  <c r="J637" i="11"/>
  <c r="M658" i="11"/>
  <c r="J658" i="11"/>
  <c r="M666" i="11"/>
  <c r="N666" i="11" s="1"/>
  <c r="J666" i="11"/>
  <c r="M689" i="11"/>
  <c r="N689" i="11" s="1"/>
  <c r="J689" i="11"/>
  <c r="M699" i="11"/>
  <c r="J699" i="11"/>
  <c r="M93" i="11"/>
  <c r="N93" i="11" s="1"/>
  <c r="J93" i="11"/>
  <c r="M417" i="11"/>
  <c r="N417" i="11" s="1"/>
  <c r="J417" i="11"/>
  <c r="M474" i="11"/>
  <c r="N474" i="11" s="1"/>
  <c r="O474" i="11" s="1"/>
  <c r="J474" i="11"/>
  <c r="M520" i="11"/>
  <c r="N520" i="11" s="1"/>
  <c r="J520" i="11"/>
  <c r="M548" i="11"/>
  <c r="N548" i="11" s="1"/>
  <c r="J548" i="11"/>
  <c r="M578" i="11"/>
  <c r="J578" i="11"/>
  <c r="M642" i="11"/>
  <c r="J642" i="11"/>
  <c r="M693" i="11"/>
  <c r="J693" i="11"/>
  <c r="M59" i="11"/>
  <c r="J59" i="11"/>
  <c r="M376" i="11"/>
  <c r="N376" i="11" s="1"/>
  <c r="J376" i="11"/>
  <c r="M418" i="11"/>
  <c r="J418" i="11"/>
  <c r="M497" i="11"/>
  <c r="J497" i="11"/>
  <c r="M537" i="11"/>
  <c r="N537" i="11" s="1"/>
  <c r="J537" i="11"/>
  <c r="M579" i="11"/>
  <c r="J579" i="11"/>
  <c r="M682" i="11"/>
  <c r="N682" i="11" s="1"/>
  <c r="O682" i="11" s="1"/>
  <c r="J682" i="11"/>
  <c r="M702" i="11"/>
  <c r="N702" i="11" s="1"/>
  <c r="O702" i="11" s="1"/>
  <c r="J702" i="11"/>
  <c r="M46" i="11"/>
  <c r="J46" i="11"/>
  <c r="M127" i="11"/>
  <c r="N127" i="11" s="1"/>
  <c r="J127" i="11"/>
  <c r="M526" i="11"/>
  <c r="N526" i="11" s="1"/>
  <c r="O526" i="11" s="1"/>
  <c r="J526" i="11"/>
  <c r="M572" i="11"/>
  <c r="N572" i="11" s="1"/>
  <c r="J572" i="11"/>
  <c r="M670" i="11"/>
  <c r="J670" i="11"/>
  <c r="M703" i="11"/>
  <c r="J703" i="11"/>
  <c r="N15" i="11"/>
  <c r="M39" i="11"/>
  <c r="N39" i="11" s="1"/>
  <c r="O39" i="11" s="1"/>
  <c r="J39" i="11"/>
  <c r="M73" i="11"/>
  <c r="N73" i="11" s="1"/>
  <c r="J73" i="11"/>
  <c r="M89" i="11"/>
  <c r="N89" i="11" s="1"/>
  <c r="J89" i="11"/>
  <c r="M138" i="11"/>
  <c r="J138" i="11"/>
  <c r="J191" i="11"/>
  <c r="N225" i="11"/>
  <c r="N282" i="11"/>
  <c r="N292" i="11"/>
  <c r="M366" i="11"/>
  <c r="J366" i="11"/>
  <c r="M346" i="11"/>
  <c r="N346" i="11" s="1"/>
  <c r="O346" i="11" s="1"/>
  <c r="E383" i="11"/>
  <c r="E385" i="11" s="1"/>
  <c r="J382" i="11"/>
  <c r="E413" i="11"/>
  <c r="J412" i="11"/>
  <c r="M473" i="11"/>
  <c r="J473" i="11"/>
  <c r="E516" i="11"/>
  <c r="J515" i="11"/>
  <c r="M533" i="11"/>
  <c r="J533" i="11"/>
  <c r="M547" i="11"/>
  <c r="N547" i="11" s="1"/>
  <c r="J547" i="11"/>
  <c r="M557" i="11"/>
  <c r="N557" i="11" s="1"/>
  <c r="J557" i="11"/>
  <c r="M569" i="11"/>
  <c r="J569" i="11"/>
  <c r="M589" i="11"/>
  <c r="J589" i="11"/>
  <c r="M605" i="11"/>
  <c r="N605" i="11" s="1"/>
  <c r="J605" i="11"/>
  <c r="O605" i="11" s="1"/>
  <c r="M638" i="11"/>
  <c r="J638" i="11"/>
  <c r="M649" i="11"/>
  <c r="J649" i="11"/>
  <c r="M659" i="11"/>
  <c r="N659" i="11" s="1"/>
  <c r="O659" i="11" s="1"/>
  <c r="J659" i="11"/>
  <c r="M667" i="11"/>
  <c r="N667" i="11" s="1"/>
  <c r="O667" i="11" s="1"/>
  <c r="J667" i="11"/>
  <c r="M678" i="11"/>
  <c r="J678" i="11"/>
  <c r="M690" i="11"/>
  <c r="J690" i="11"/>
  <c r="M700" i="11"/>
  <c r="N700" i="11" s="1"/>
  <c r="O700" i="11" s="1"/>
  <c r="J700" i="11"/>
  <c r="N649" i="11"/>
  <c r="N678" i="11"/>
  <c r="N638" i="11"/>
  <c r="N642" i="11"/>
  <c r="O642" i="11" s="1"/>
  <c r="N685" i="11"/>
  <c r="O685" i="11" s="1"/>
  <c r="N643" i="11"/>
  <c r="N686" i="11"/>
  <c r="N435" i="11"/>
  <c r="N579" i="11"/>
  <c r="N568" i="11"/>
  <c r="O568" i="11" s="1"/>
  <c r="N473" i="11"/>
  <c r="N351" i="11"/>
  <c r="N340" i="11"/>
  <c r="N323" i="11"/>
  <c r="N324" i="11"/>
  <c r="N253" i="11"/>
  <c r="N283" i="11"/>
  <c r="N191" i="11"/>
  <c r="O191" i="11" s="1"/>
  <c r="N59" i="11"/>
  <c r="N159" i="11"/>
  <c r="N65" i="11"/>
  <c r="N81" i="11"/>
  <c r="O81" i="11" s="1"/>
  <c r="N18" i="11"/>
  <c r="M302" i="11"/>
  <c r="J302" i="11"/>
  <c r="N53" i="11"/>
  <c r="O53" i="11" s="1"/>
  <c r="J180" i="11"/>
  <c r="M214" i="11"/>
  <c r="N214" i="11" s="1"/>
  <c r="M319" i="11"/>
  <c r="N319" i="11" s="1"/>
  <c r="O319" i="11" s="1"/>
  <c r="N221" i="11"/>
  <c r="N571" i="11"/>
  <c r="O571" i="11" s="1"/>
  <c r="N650" i="11"/>
  <c r="O650" i="11" s="1"/>
  <c r="N697" i="11"/>
  <c r="N315" i="11"/>
  <c r="M320" i="11"/>
  <c r="N320" i="11" s="1"/>
  <c r="O320" i="11" s="1"/>
  <c r="J619" i="11"/>
  <c r="N636" i="11"/>
  <c r="O636" i="11" s="1"/>
  <c r="M652" i="11"/>
  <c r="N652" i="11" s="1"/>
  <c r="O652" i="11" s="1"/>
  <c r="J198" i="11"/>
  <c r="O198" i="11" s="1"/>
  <c r="M212" i="11"/>
  <c r="N212" i="11" s="1"/>
  <c r="O212" i="11" s="1"/>
  <c r="E449" i="11"/>
  <c r="E450" i="11" s="1"/>
  <c r="N683" i="11"/>
  <c r="O683" i="11" s="1"/>
  <c r="N699" i="11"/>
  <c r="M664" i="11"/>
  <c r="N664" i="11" s="1"/>
  <c r="O664" i="11" s="1"/>
  <c r="J15" i="11"/>
  <c r="N134" i="11"/>
  <c r="O134" i="11" s="1"/>
  <c r="J187" i="11"/>
  <c r="O187" i="11" s="1"/>
  <c r="M263" i="11"/>
  <c r="M347" i="11"/>
  <c r="N574" i="11"/>
  <c r="N684" i="11"/>
  <c r="M8" i="11"/>
  <c r="N8" i="11" s="1"/>
  <c r="O8" i="11" s="1"/>
  <c r="N210" i="11"/>
  <c r="N366" i="11"/>
  <c r="O366" i="11" s="1"/>
  <c r="M644" i="11"/>
  <c r="N644" i="11" s="1"/>
  <c r="O644" i="11" s="1"/>
  <c r="M656" i="11"/>
  <c r="M312" i="11"/>
  <c r="N312" i="11" s="1"/>
  <c r="O312" i="11" s="1"/>
  <c r="N564" i="11"/>
  <c r="O564" i="11" s="1"/>
  <c r="N576" i="11"/>
  <c r="N669" i="11"/>
  <c r="O669" i="11" s="1"/>
  <c r="N268" i="11"/>
  <c r="J231" i="11"/>
  <c r="O231" i="11" s="1"/>
  <c r="M245" i="11"/>
  <c r="N703" i="11"/>
  <c r="J21" i="11"/>
  <c r="M308" i="11"/>
  <c r="M374" i="11"/>
  <c r="N374" i="11" s="1"/>
  <c r="O374" i="11" s="1"/>
  <c r="M419" i="11"/>
  <c r="N419" i="11" s="1"/>
  <c r="O419" i="11" s="1"/>
  <c r="N169" i="11"/>
  <c r="M344" i="11"/>
  <c r="N344" i="11" s="1"/>
  <c r="O344" i="11" s="1"/>
  <c r="M9" i="11"/>
  <c r="N9" i="11" s="1"/>
  <c r="O9" i="11" s="1"/>
  <c r="N218" i="11"/>
  <c r="N230" i="11"/>
  <c r="N694" i="11"/>
  <c r="M306" i="11"/>
  <c r="N306" i="11" s="1"/>
  <c r="J306" i="11"/>
  <c r="M223" i="11"/>
  <c r="N223" i="11" s="1"/>
  <c r="O223" i="11" s="1"/>
  <c r="N263" i="11"/>
  <c r="O263" i="11" s="1"/>
  <c r="N20" i="11"/>
  <c r="M186" i="11"/>
  <c r="N186" i="11" s="1"/>
  <c r="O186" i="11" s="1"/>
  <c r="M224" i="11"/>
  <c r="N224" i="11" s="1"/>
  <c r="O224" i="11" s="1"/>
  <c r="M329" i="11"/>
  <c r="N329" i="11" s="1"/>
  <c r="O329" i="11" s="1"/>
  <c r="M345" i="11"/>
  <c r="N345" i="11" s="1"/>
  <c r="O345" i="11" s="1"/>
  <c r="J359" i="11"/>
  <c r="M394" i="11"/>
  <c r="N394" i="11" s="1"/>
  <c r="M420" i="11"/>
  <c r="N420" i="11" s="1"/>
  <c r="M621" i="11"/>
  <c r="N621" i="11" s="1"/>
  <c r="O621" i="11" s="1"/>
  <c r="M655" i="11"/>
  <c r="N655" i="11" s="1"/>
  <c r="O655" i="11" s="1"/>
  <c r="O19" i="11"/>
  <c r="J179" i="11"/>
  <c r="O179" i="11" s="1"/>
  <c r="M171" i="11"/>
  <c r="N171" i="11" s="1"/>
  <c r="O171" i="11" s="1"/>
  <c r="N226" i="11"/>
  <c r="M211" i="11"/>
  <c r="N211" i="11" s="1"/>
  <c r="O211" i="11" s="1"/>
  <c r="N302" i="11"/>
  <c r="O302" i="11" s="1"/>
  <c r="N332" i="11"/>
  <c r="N358" i="11"/>
  <c r="J340" i="11"/>
  <c r="J333" i="11"/>
  <c r="M479" i="11"/>
  <c r="N479" i="11" s="1"/>
  <c r="M532" i="11"/>
  <c r="N532" i="11" s="1"/>
  <c r="O532" i="11" s="1"/>
  <c r="M560" i="11"/>
  <c r="N560" i="11" s="1"/>
  <c r="O560" i="11" s="1"/>
  <c r="M172" i="11"/>
  <c r="N172" i="11" s="1"/>
  <c r="O172" i="11" s="1"/>
  <c r="M322" i="11"/>
  <c r="N322" i="11" s="1"/>
  <c r="O322" i="11" s="1"/>
  <c r="N138" i="11"/>
  <c r="J160" i="11"/>
  <c r="N147" i="11"/>
  <c r="N204" i="11"/>
  <c r="M190" i="11"/>
  <c r="N190" i="11" s="1"/>
  <c r="O190" i="11" s="1"/>
  <c r="J239" i="11"/>
  <c r="O239" i="11" s="1"/>
  <c r="M248" i="11"/>
  <c r="N248" i="11" s="1"/>
  <c r="O248" i="11" s="1"/>
  <c r="M289" i="11"/>
  <c r="N289" i="11" s="1"/>
  <c r="O289" i="11" s="1"/>
  <c r="J323" i="11"/>
  <c r="N334" i="11"/>
  <c r="O334" i="11" s="1"/>
  <c r="N418" i="11"/>
  <c r="N527" i="11"/>
  <c r="M549" i="11"/>
  <c r="N549" i="11" s="1"/>
  <c r="O549" i="11" s="1"/>
  <c r="M563" i="11"/>
  <c r="N563" i="11" s="1"/>
  <c r="O563" i="11" s="1"/>
  <c r="M607" i="11"/>
  <c r="N607" i="11" s="1"/>
  <c r="O607" i="11" s="1"/>
  <c r="M623" i="11"/>
  <c r="N623" i="11" s="1"/>
  <c r="O623" i="11" s="1"/>
  <c r="M196" i="11"/>
  <c r="N196" i="11" s="1"/>
  <c r="O196" i="11" s="1"/>
  <c r="M183" i="11"/>
  <c r="N183" i="11" s="1"/>
  <c r="O183" i="11" s="1"/>
  <c r="J177" i="11"/>
  <c r="O177" i="11" s="1"/>
  <c r="M227" i="11"/>
  <c r="N227" i="11" s="1"/>
  <c r="N335" i="11"/>
  <c r="N375" i="11"/>
  <c r="M360" i="11"/>
  <c r="N497" i="11"/>
  <c r="N578" i="11"/>
  <c r="O578" i="11" s="1"/>
  <c r="N690" i="11"/>
  <c r="M665" i="11"/>
  <c r="N665" i="11" s="1"/>
  <c r="O665" i="11" s="1"/>
  <c r="M118" i="11"/>
  <c r="N118" i="11" s="1"/>
  <c r="O118" i="11" s="1"/>
  <c r="J240" i="11"/>
  <c r="O240" i="11" s="1"/>
  <c r="M249" i="11"/>
  <c r="N249" i="11" s="1"/>
  <c r="O249" i="11" s="1"/>
  <c r="M290" i="11"/>
  <c r="N290" i="11" s="1"/>
  <c r="O290" i="11" s="1"/>
  <c r="O376" i="11"/>
  <c r="M336" i="11"/>
  <c r="N336" i="11" s="1"/>
  <c r="O336" i="11" s="1"/>
  <c r="J355" i="11"/>
  <c r="O355" i="11" s="1"/>
  <c r="N445" i="11"/>
  <c r="N531" i="11"/>
  <c r="M382" i="11"/>
  <c r="N382" i="11" s="1"/>
  <c r="N589" i="11"/>
  <c r="N600" i="11"/>
  <c r="O600" i="11" s="1"/>
  <c r="J287" i="11"/>
  <c r="O287" i="11" s="1"/>
  <c r="O370" i="11"/>
  <c r="N544" i="11"/>
  <c r="J16" i="11"/>
  <c r="O16" i="11" s="1"/>
  <c r="E152" i="11"/>
  <c r="G152" i="11" s="1"/>
  <c r="J152" i="11" s="1"/>
  <c r="M195" i="11"/>
  <c r="M182" i="11"/>
  <c r="N182" i="11" s="1"/>
  <c r="O182" i="11" s="1"/>
  <c r="J176" i="11"/>
  <c r="O176" i="11" s="1"/>
  <c r="J210" i="11"/>
  <c r="M220" i="11"/>
  <c r="N220" i="11" s="1"/>
  <c r="O220" i="11" s="1"/>
  <c r="J324" i="11"/>
  <c r="O324" i="11" s="1"/>
  <c r="M342" i="11"/>
  <c r="N342" i="11" s="1"/>
  <c r="O342" i="11" s="1"/>
  <c r="M372" i="11"/>
  <c r="N372" i="11" s="1"/>
  <c r="O372" i="11" s="1"/>
  <c r="N580" i="11"/>
  <c r="M495" i="11"/>
  <c r="N495" i="11" s="1"/>
  <c r="O495" i="11" s="1"/>
  <c r="N76" i="11"/>
  <c r="N130" i="11"/>
  <c r="O130" i="11" s="1"/>
  <c r="N180" i="11"/>
  <c r="J189" i="11"/>
  <c r="O189" i="11" s="1"/>
  <c r="J167" i="11"/>
  <c r="O167" i="11" s="1"/>
  <c r="N234" i="11"/>
  <c r="J243" i="11"/>
  <c r="O243" i="11" s="1"/>
  <c r="J282" i="11"/>
  <c r="O282" i="11" s="1"/>
  <c r="M303" i="11"/>
  <c r="N303" i="11" s="1"/>
  <c r="O303" i="11" s="1"/>
  <c r="J348" i="11"/>
  <c r="O348" i="11" s="1"/>
  <c r="M364" i="11"/>
  <c r="N393" i="11"/>
  <c r="N476" i="11"/>
  <c r="N506" i="11"/>
  <c r="O506" i="11" s="1"/>
  <c r="N533" i="11"/>
  <c r="O533" i="11" s="1"/>
  <c r="N569" i="11"/>
  <c r="M566" i="11"/>
  <c r="N566" i="11" s="1"/>
  <c r="O566" i="11" s="1"/>
  <c r="M593" i="11"/>
  <c r="N593" i="11" s="1"/>
  <c r="O593" i="11" s="1"/>
  <c r="O678" i="11"/>
  <c r="O369" i="11"/>
  <c r="J341" i="11"/>
  <c r="J175" i="11"/>
  <c r="O175" i="11" s="1"/>
  <c r="N235" i="11"/>
  <c r="J356" i="11"/>
  <c r="O356" i="11" s="1"/>
  <c r="M373" i="11"/>
  <c r="N373" i="11" s="1"/>
  <c r="O373" i="11" s="1"/>
  <c r="N570" i="11"/>
  <c r="N603" i="11"/>
  <c r="O603" i="11" s="1"/>
  <c r="N110" i="11"/>
  <c r="O110" i="11" s="1"/>
  <c r="M193" i="11"/>
  <c r="N193" i="11" s="1"/>
  <c r="O193" i="11" s="1"/>
  <c r="J181" i="11"/>
  <c r="O181" i="11" s="1"/>
  <c r="M201" i="11"/>
  <c r="N201" i="11" s="1"/>
  <c r="O201" i="11" s="1"/>
  <c r="N222" i="11"/>
  <c r="M260" i="11"/>
  <c r="N260" i="11" s="1"/>
  <c r="O260" i="11" s="1"/>
  <c r="M295" i="11"/>
  <c r="N295" i="11" s="1"/>
  <c r="O295" i="11" s="1"/>
  <c r="J309" i="11"/>
  <c r="O309" i="11" s="1"/>
  <c r="J335" i="11"/>
  <c r="N553" i="11"/>
  <c r="N583" i="11"/>
  <c r="O583" i="11" s="1"/>
  <c r="M543" i="11"/>
  <c r="N543" i="11" s="1"/>
  <c r="O543" i="11" s="1"/>
  <c r="M610" i="11"/>
  <c r="N610" i="11" s="1"/>
  <c r="O610" i="11" s="1"/>
  <c r="M661" i="11"/>
  <c r="N661" i="11" s="1"/>
  <c r="O661" i="11" s="1"/>
  <c r="E403" i="11"/>
  <c r="E406" i="11" s="1"/>
  <c r="M402" i="11"/>
  <c r="N402" i="11" s="1"/>
  <c r="J22" i="11"/>
  <c r="M22" i="11"/>
  <c r="N22" i="11" s="1"/>
  <c r="M13" i="11"/>
  <c r="N13" i="11" s="1"/>
  <c r="J31" i="11"/>
  <c r="M31" i="11"/>
  <c r="N31" i="11" s="1"/>
  <c r="M78" i="11"/>
  <c r="N78" i="11" s="1"/>
  <c r="O227" i="11"/>
  <c r="J316" i="11"/>
  <c r="M316" i="11"/>
  <c r="N316" i="11" s="1"/>
  <c r="M11" i="11"/>
  <c r="N11" i="11" s="1"/>
  <c r="J11" i="11"/>
  <c r="M219" i="11"/>
  <c r="N219" i="11" s="1"/>
  <c r="J219" i="11"/>
  <c r="M247" i="11"/>
  <c r="N247" i="11" s="1"/>
  <c r="J247" i="11"/>
  <c r="M277" i="11"/>
  <c r="N277" i="11" s="1"/>
  <c r="J277" i="11"/>
  <c r="J305" i="11"/>
  <c r="M305" i="11"/>
  <c r="N305" i="11" s="1"/>
  <c r="M304" i="11"/>
  <c r="N304" i="11" s="1"/>
  <c r="O304" i="11" s="1"/>
  <c r="E469" i="11"/>
  <c r="E472" i="11" s="1"/>
  <c r="M468" i="11"/>
  <c r="N468" i="11" s="1"/>
  <c r="N591" i="11"/>
  <c r="M12" i="11"/>
  <c r="N12" i="11" s="1"/>
  <c r="O12" i="11" s="1"/>
  <c r="N14" i="11"/>
  <c r="J307" i="11"/>
  <c r="M307" i="11"/>
  <c r="N307" i="11" s="1"/>
  <c r="J18" i="11"/>
  <c r="O15" i="11"/>
  <c r="O160" i="11"/>
  <c r="M10" i="11"/>
  <c r="N10" i="11" s="1"/>
  <c r="O10" i="11" s="1"/>
  <c r="O340" i="11"/>
  <c r="J352" i="11"/>
  <c r="M352" i="11"/>
  <c r="N352" i="11" s="1"/>
  <c r="M368" i="11"/>
  <c r="N368" i="11" s="1"/>
  <c r="O581" i="11"/>
  <c r="J173" i="11"/>
  <c r="M173" i="11"/>
  <c r="N173" i="11" s="1"/>
  <c r="J185" i="11"/>
  <c r="M185" i="11"/>
  <c r="N185" i="11" s="1"/>
  <c r="J197" i="11"/>
  <c r="M197" i="11"/>
  <c r="N197" i="11" s="1"/>
  <c r="M301" i="11"/>
  <c r="N301" i="11" s="1"/>
  <c r="O301" i="11" s="1"/>
  <c r="J301" i="11"/>
  <c r="M536" i="11"/>
  <c r="N536" i="11" s="1"/>
  <c r="M552" i="11"/>
  <c r="N552" i="11" s="1"/>
  <c r="M582" i="11"/>
  <c r="N582" i="11" s="1"/>
  <c r="O582" i="11" s="1"/>
  <c r="E485" i="11"/>
  <c r="E488" i="11" s="1"/>
  <c r="M484" i="11"/>
  <c r="N484" i="11" s="1"/>
  <c r="M507" i="11"/>
  <c r="N507" i="11" s="1"/>
  <c r="M602" i="11"/>
  <c r="N602" i="11" s="1"/>
  <c r="M17" i="11"/>
  <c r="N17" i="11" s="1"/>
  <c r="J17" i="11"/>
  <c r="M434" i="11"/>
  <c r="N434" i="11" s="1"/>
  <c r="O434" i="11" s="1"/>
  <c r="M454" i="11"/>
  <c r="N454" i="11" s="1"/>
  <c r="M631" i="11"/>
  <c r="N631" i="11" s="1"/>
  <c r="M648" i="11"/>
  <c r="N648" i="11" s="1"/>
  <c r="M662" i="11"/>
  <c r="N662" i="11" s="1"/>
  <c r="M674" i="11"/>
  <c r="N674" i="11" s="1"/>
  <c r="M695" i="11"/>
  <c r="N695" i="11" s="1"/>
  <c r="M150" i="11"/>
  <c r="N150" i="11" s="1"/>
  <c r="O150" i="11" s="1"/>
  <c r="N594" i="11"/>
  <c r="N696" i="11"/>
  <c r="N21" i="11"/>
  <c r="O21" i="11" s="1"/>
  <c r="J30" i="11"/>
  <c r="M30" i="11"/>
  <c r="N30" i="11" s="1"/>
  <c r="M126" i="11"/>
  <c r="N126" i="11" s="1"/>
  <c r="M151" i="11"/>
  <c r="N151" i="11" s="1"/>
  <c r="O151" i="11" s="1"/>
  <c r="O394" i="11"/>
  <c r="M622" i="11"/>
  <c r="N622" i="11" s="1"/>
  <c r="J622" i="11"/>
  <c r="N635" i="11"/>
  <c r="O635" i="11" s="1"/>
  <c r="N681" i="11"/>
  <c r="O681" i="11" s="1"/>
  <c r="J20" i="11"/>
  <c r="J14" i="11"/>
  <c r="O70" i="11"/>
  <c r="M94" i="11"/>
  <c r="N94" i="11" s="1"/>
  <c r="O94" i="11" s="1"/>
  <c r="J166" i="11"/>
  <c r="O166" i="11" s="1"/>
  <c r="J169" i="11"/>
  <c r="J204" i="11"/>
  <c r="J228" i="11"/>
  <c r="O228" i="11" s="1"/>
  <c r="M236" i="11"/>
  <c r="N236" i="11" s="1"/>
  <c r="O236" i="11" s="1"/>
  <c r="J246" i="11"/>
  <c r="O246" i="11" s="1"/>
  <c r="M271" i="11"/>
  <c r="N271" i="11" s="1"/>
  <c r="O271" i="11" s="1"/>
  <c r="M281" i="11"/>
  <c r="N281" i="11" s="1"/>
  <c r="O281" i="11" s="1"/>
  <c r="J313" i="11"/>
  <c r="O313" i="11" s="1"/>
  <c r="J351" i="11"/>
  <c r="M343" i="11"/>
  <c r="N343" i="11" s="1"/>
  <c r="O343" i="11" s="1"/>
  <c r="M339" i="11"/>
  <c r="N339" i="11" s="1"/>
  <c r="O339" i="11" s="1"/>
  <c r="J332" i="11"/>
  <c r="O332" i="11" s="1"/>
  <c r="M365" i="11"/>
  <c r="N365" i="11" s="1"/>
  <c r="O365" i="11" s="1"/>
  <c r="M433" i="11"/>
  <c r="N433" i="11" s="1"/>
  <c r="O433" i="11" s="1"/>
  <c r="M448" i="11"/>
  <c r="N448" i="11" s="1"/>
  <c r="O448" i="11" s="1"/>
  <c r="M505" i="11"/>
  <c r="N505" i="11" s="1"/>
  <c r="O505" i="11" s="1"/>
  <c r="M538" i="11"/>
  <c r="N538" i="11" s="1"/>
  <c r="O538" i="11" s="1"/>
  <c r="M573" i="11"/>
  <c r="N573" i="11" s="1"/>
  <c r="O573" i="11" s="1"/>
  <c r="M577" i="11"/>
  <c r="N577" i="11" s="1"/>
  <c r="O577" i="11" s="1"/>
  <c r="M601" i="11"/>
  <c r="N601" i="11" s="1"/>
  <c r="O601" i="11" s="1"/>
  <c r="M616" i="11"/>
  <c r="N616" i="11" s="1"/>
  <c r="O616" i="11" s="1"/>
  <c r="M645" i="11"/>
  <c r="N645" i="11" s="1"/>
  <c r="O645" i="11" s="1"/>
  <c r="N658" i="11"/>
  <c r="O658" i="11" s="1"/>
  <c r="O666" i="11"/>
  <c r="N693" i="11"/>
  <c r="O693" i="11" s="1"/>
  <c r="M58" i="11"/>
  <c r="N58" i="11" s="1"/>
  <c r="O58" i="11" s="1"/>
  <c r="J237" i="11"/>
  <c r="O237" i="11" s="1"/>
  <c r="J272" i="11"/>
  <c r="O272" i="11" s="1"/>
  <c r="M350" i="11"/>
  <c r="N350" i="11" s="1"/>
  <c r="O350" i="11" s="1"/>
  <c r="N360" i="11"/>
  <c r="O360" i="11" s="1"/>
  <c r="M387" i="11"/>
  <c r="N387" i="11" s="1"/>
  <c r="O387" i="11" s="1"/>
  <c r="M412" i="11"/>
  <c r="N412" i="11" s="1"/>
  <c r="O453" i="11"/>
  <c r="M458" i="11"/>
  <c r="N458" i="11" s="1"/>
  <c r="O458" i="11" s="1"/>
  <c r="O496" i="11"/>
  <c r="M515" i="11"/>
  <c r="N515" i="11" s="1"/>
  <c r="O515" i="11" s="1"/>
  <c r="M590" i="11"/>
  <c r="N590" i="11" s="1"/>
  <c r="O590" i="11" s="1"/>
  <c r="O646" i="11"/>
  <c r="O649" i="11"/>
  <c r="N673" i="11"/>
  <c r="O673" i="11" s="1"/>
  <c r="O697" i="11"/>
  <c r="O704" i="11"/>
  <c r="M86" i="11"/>
  <c r="N86" i="11" s="1"/>
  <c r="O214" i="11"/>
  <c r="M331" i="11"/>
  <c r="N331" i="11" s="1"/>
  <c r="O331" i="11" s="1"/>
  <c r="J357" i="11"/>
  <c r="O392" i="11"/>
  <c r="O417" i="11"/>
  <c r="O420" i="11"/>
  <c r="O520" i="11"/>
  <c r="O544" i="11"/>
  <c r="O686" i="11"/>
  <c r="O694" i="11"/>
  <c r="N701" i="11"/>
  <c r="O701" i="11" s="1"/>
  <c r="N46" i="11"/>
  <c r="O46" i="11" s="1"/>
  <c r="N195" i="11"/>
  <c r="O195" i="11" s="1"/>
  <c r="M192" i="11"/>
  <c r="N192" i="11" s="1"/>
  <c r="O192" i="11" s="1"/>
  <c r="M188" i="11"/>
  <c r="N188" i="11" s="1"/>
  <c r="O188" i="11" s="1"/>
  <c r="M178" i="11"/>
  <c r="N178" i="11" s="1"/>
  <c r="O178" i="11" s="1"/>
  <c r="M168" i="11"/>
  <c r="N168" i="11" s="1"/>
  <c r="O168" i="11" s="1"/>
  <c r="J221" i="11"/>
  <c r="J225" i="11"/>
  <c r="O225" i="11" s="1"/>
  <c r="J234" i="11"/>
  <c r="J253" i="11"/>
  <c r="J291" i="11"/>
  <c r="O291" i="11" s="1"/>
  <c r="J314" i="11"/>
  <c r="O314" i="11" s="1"/>
  <c r="M338" i="11"/>
  <c r="N338" i="11" s="1"/>
  <c r="O338" i="11" s="1"/>
  <c r="N357" i="11"/>
  <c r="O361" i="11"/>
  <c r="E521" i="11"/>
  <c r="E522" i="11" s="1"/>
  <c r="M397" i="11"/>
  <c r="N397" i="11" s="1"/>
  <c r="O444" i="11"/>
  <c r="O475" i="11"/>
  <c r="O547" i="11"/>
  <c r="N670" i="11"/>
  <c r="O670" i="11" s="1"/>
  <c r="J147" i="11"/>
  <c r="J158" i="11"/>
  <c r="O158" i="11" s="1"/>
  <c r="M174" i="11"/>
  <c r="N174" i="11" s="1"/>
  <c r="O174" i="11" s="1"/>
  <c r="J229" i="11"/>
  <c r="O229" i="11" s="1"/>
  <c r="J238" i="11"/>
  <c r="O238" i="11" s="1"/>
  <c r="J267" i="11"/>
  <c r="O267" i="11" s="1"/>
  <c r="J276" i="11"/>
  <c r="J288" i="11"/>
  <c r="O288" i="11" s="1"/>
  <c r="M349" i="11"/>
  <c r="N349" i="11" s="1"/>
  <c r="O349" i="11" s="1"/>
  <c r="M463" i="11"/>
  <c r="N463" i="11" s="1"/>
  <c r="O575" i="11"/>
  <c r="O579" i="11"/>
  <c r="N619" i="11"/>
  <c r="M630" i="11"/>
  <c r="N630" i="11" s="1"/>
  <c r="O630" i="11" s="1"/>
  <c r="O647" i="11"/>
  <c r="O698" i="11"/>
  <c r="O89" i="11"/>
  <c r="M98" i="11"/>
  <c r="N98" i="11" s="1"/>
  <c r="O98" i="11" s="1"/>
  <c r="M194" i="11"/>
  <c r="M184" i="11"/>
  <c r="N184" i="11" s="1"/>
  <c r="O184" i="11" s="1"/>
  <c r="M170" i="11"/>
  <c r="N170" i="11" s="1"/>
  <c r="O170" i="11" s="1"/>
  <c r="M213" i="11"/>
  <c r="N213" i="11" s="1"/>
  <c r="O213" i="11" s="1"/>
  <c r="J218" i="11"/>
  <c r="J244" i="11"/>
  <c r="O244" i="11" s="1"/>
  <c r="N276" i="11"/>
  <c r="J283" i="11"/>
  <c r="M330" i="11"/>
  <c r="N330" i="11" s="1"/>
  <c r="O330" i="11" s="1"/>
  <c r="J358" i="11"/>
  <c r="M423" i="11"/>
  <c r="N423" i="11" s="1"/>
  <c r="O435" i="11"/>
  <c r="M489" i="11"/>
  <c r="N489" i="11" s="1"/>
  <c r="O489" i="11" s="1"/>
  <c r="O542" i="11"/>
  <c r="O557" i="11"/>
  <c r="M606" i="11"/>
  <c r="N606" i="11" s="1"/>
  <c r="O606" i="11" s="1"/>
  <c r="O637" i="11"/>
  <c r="O660" i="11"/>
  <c r="O671" i="11"/>
  <c r="O689" i="11"/>
  <c r="N705" i="11"/>
  <c r="N194" i="11"/>
  <c r="O194" i="11" s="1"/>
  <c r="J222" i="11"/>
  <c r="O222" i="11" s="1"/>
  <c r="J226" i="11"/>
  <c r="J256" i="11"/>
  <c r="O256" i="11" s="1"/>
  <c r="J292" i="11"/>
  <c r="O292" i="11" s="1"/>
  <c r="M337" i="11"/>
  <c r="N337" i="11" s="1"/>
  <c r="O337" i="11" s="1"/>
  <c r="O476" i="11"/>
  <c r="O494" i="11"/>
  <c r="O531" i="11"/>
  <c r="O548" i="11"/>
  <c r="O565" i="11"/>
  <c r="O572" i="11"/>
  <c r="J620" i="11"/>
  <c r="M32" i="11"/>
  <c r="N32" i="11" s="1"/>
  <c r="O32" i="11" s="1"/>
  <c r="O93" i="11"/>
  <c r="J235" i="11"/>
  <c r="J268" i="11"/>
  <c r="O268" i="11" s="1"/>
  <c r="J315" i="11"/>
  <c r="N341" i="11"/>
  <c r="O375" i="11"/>
  <c r="O537" i="11"/>
  <c r="M609" i="11"/>
  <c r="N609" i="11" s="1"/>
  <c r="O609" i="11" s="1"/>
  <c r="N620" i="11"/>
  <c r="N656" i="11"/>
  <c r="O656" i="11" s="1"/>
  <c r="O699" i="11"/>
  <c r="O119" i="11"/>
  <c r="O103" i="11"/>
  <c r="J159" i="11"/>
  <c r="O159" i="11" s="1"/>
  <c r="J230" i="11"/>
  <c r="O230" i="11" s="1"/>
  <c r="J286" i="11"/>
  <c r="O286" i="11" s="1"/>
  <c r="J321" i="11"/>
  <c r="O321" i="11" s="1"/>
  <c r="N333" i="11"/>
  <c r="M428" i="11"/>
  <c r="N428" i="11" s="1"/>
  <c r="O455" i="11"/>
  <c r="O473" i="11"/>
  <c r="O629" i="11"/>
  <c r="N308" i="11"/>
  <c r="O308" i="11" s="1"/>
  <c r="N364" i="11"/>
  <c r="O364" i="11" s="1"/>
  <c r="O479" i="11"/>
  <c r="M500" i="11"/>
  <c r="N500" i="11" s="1"/>
  <c r="N634" i="11"/>
  <c r="O634" i="11" s="1"/>
  <c r="N245" i="11"/>
  <c r="O245" i="11" s="1"/>
  <c r="N347" i="11"/>
  <c r="O347" i="11" s="1"/>
  <c r="N359" i="11"/>
  <c r="M407" i="11"/>
  <c r="N407" i="11" s="1"/>
  <c r="M438" i="11"/>
  <c r="N438" i="11" s="1"/>
  <c r="M510" i="11"/>
  <c r="N510" i="11" s="1"/>
  <c r="O510" i="11" s="1"/>
  <c r="O638" i="11"/>
  <c r="N588" i="11"/>
  <c r="O588" i="11" s="1"/>
  <c r="E427" i="11"/>
  <c r="E426" i="11"/>
  <c r="E425" i="11"/>
  <c r="E502" i="11"/>
  <c r="E504" i="11"/>
  <c r="E503" i="11"/>
  <c r="E410" i="11"/>
  <c r="E409" i="11"/>
  <c r="E411" i="11"/>
  <c r="E486" i="11"/>
  <c r="E487" i="11"/>
  <c r="E414" i="11"/>
  <c r="E416" i="11"/>
  <c r="E415" i="11"/>
  <c r="E461" i="11"/>
  <c r="E460" i="11"/>
  <c r="E462" i="11"/>
  <c r="E442" i="11"/>
  <c r="E440" i="11"/>
  <c r="E441" i="11"/>
  <c r="E467" i="11"/>
  <c r="E493" i="11"/>
  <c r="E492" i="11"/>
  <c r="E491" i="11"/>
  <c r="E519" i="11"/>
  <c r="E518" i="11"/>
  <c r="E517" i="11"/>
  <c r="E481" i="11"/>
  <c r="E431" i="11"/>
  <c r="E482" i="11"/>
  <c r="E512" i="11"/>
  <c r="E514" i="11"/>
  <c r="M155" i="11"/>
  <c r="N155" i="11" s="1"/>
  <c r="O155" i="11" s="1"/>
  <c r="M142" i="11"/>
  <c r="N142" i="11" s="1"/>
  <c r="O142" i="11" s="1"/>
  <c r="M146" i="11"/>
  <c r="N146" i="11" s="1"/>
  <c r="O146" i="11" s="1"/>
  <c r="N144" i="11"/>
  <c r="J144" i="11"/>
  <c r="M135" i="11"/>
  <c r="N135" i="11" s="1"/>
  <c r="O135" i="11" s="1"/>
  <c r="O133" i="11"/>
  <c r="O127" i="11"/>
  <c r="M122" i="11"/>
  <c r="N122" i="11" s="1"/>
  <c r="O122" i="11" s="1"/>
  <c r="M111" i="11"/>
  <c r="N111" i="11" s="1"/>
  <c r="O109" i="11"/>
  <c r="M106" i="11"/>
  <c r="N106" i="11" s="1"/>
  <c r="O106" i="11" s="1"/>
  <c r="O101" i="11"/>
  <c r="M95" i="11"/>
  <c r="N95" i="11" s="1"/>
  <c r="O84" i="11"/>
  <c r="O86" i="11"/>
  <c r="N85" i="11"/>
  <c r="O73" i="11"/>
  <c r="M67" i="11"/>
  <c r="N67" i="11" s="1"/>
  <c r="G68" i="11"/>
  <c r="J68" i="11" s="1"/>
  <c r="M66" i="11"/>
  <c r="N66" i="11" s="1"/>
  <c r="O66" i="11" s="1"/>
  <c r="O65" i="11"/>
  <c r="M57" i="11"/>
  <c r="N57" i="11" s="1"/>
  <c r="O57" i="11" s="1"/>
  <c r="O59" i="11"/>
  <c r="O54" i="11"/>
  <c r="N48" i="11"/>
  <c r="M40" i="11"/>
  <c r="N40" i="11" s="1"/>
  <c r="O40" i="11" s="1"/>
  <c r="N38" i="11"/>
  <c r="E41" i="11"/>
  <c r="G41" i="11" s="1"/>
  <c r="J41" i="11" s="1"/>
  <c r="E69" i="11"/>
  <c r="G69" i="11" s="1"/>
  <c r="J69" i="11" s="1"/>
  <c r="E49" i="11"/>
  <c r="G49" i="11" s="1"/>
  <c r="J49" i="11" s="1"/>
  <c r="G60" i="11"/>
  <c r="J60" i="11" s="1"/>
  <c r="G143" i="11"/>
  <c r="J143" i="11" s="1"/>
  <c r="E33" i="11"/>
  <c r="G33" i="11" s="1"/>
  <c r="E61" i="11"/>
  <c r="G61" i="11" s="1"/>
  <c r="J61" i="11" s="1"/>
  <c r="E34" i="11"/>
  <c r="G34" i="11" s="1"/>
  <c r="E42" i="11"/>
  <c r="G42" i="11" s="1"/>
  <c r="J42" i="11" s="1"/>
  <c r="E50" i="11"/>
  <c r="G50" i="11" s="1"/>
  <c r="J50" i="11" s="1"/>
  <c r="G29" i="11"/>
  <c r="G45" i="11"/>
  <c r="J45" i="11" s="1"/>
  <c r="G79" i="11"/>
  <c r="J79" i="11" s="1"/>
  <c r="G87" i="11"/>
  <c r="J87" i="11" s="1"/>
  <c r="G96" i="11"/>
  <c r="J96" i="11" s="1"/>
  <c r="G104" i="11"/>
  <c r="J104" i="11" s="1"/>
  <c r="G112" i="11"/>
  <c r="J112" i="11" s="1"/>
  <c r="G120" i="11"/>
  <c r="J120" i="11" s="1"/>
  <c r="G128" i="11"/>
  <c r="J128" i="11" s="1"/>
  <c r="G136" i="11"/>
  <c r="J136" i="11" s="1"/>
  <c r="G145" i="11"/>
  <c r="G153" i="11"/>
  <c r="J153" i="11" s="1"/>
  <c r="E80" i="11"/>
  <c r="G80" i="11" s="1"/>
  <c r="J80" i="11" s="1"/>
  <c r="E88" i="11"/>
  <c r="G88" i="11" s="1"/>
  <c r="J88" i="11" s="1"/>
  <c r="E97" i="11"/>
  <c r="G97" i="11" s="1"/>
  <c r="J97" i="11" s="1"/>
  <c r="E105" i="11"/>
  <c r="G105" i="11" s="1"/>
  <c r="J105" i="11" s="1"/>
  <c r="E113" i="11"/>
  <c r="G113" i="11" s="1"/>
  <c r="J113" i="11" s="1"/>
  <c r="E121" i="11"/>
  <c r="G121" i="11" s="1"/>
  <c r="J121" i="11" s="1"/>
  <c r="E129" i="11"/>
  <c r="G129" i="11" s="1"/>
  <c r="J129" i="11" s="1"/>
  <c r="E137" i="11"/>
  <c r="G137" i="11" s="1"/>
  <c r="J137" i="11" s="1"/>
  <c r="G37" i="11"/>
  <c r="J37" i="11" s="1"/>
  <c r="O13" i="11"/>
  <c r="E390" i="11" l="1"/>
  <c r="O283" i="11"/>
  <c r="O341" i="11"/>
  <c r="O17" i="11"/>
  <c r="O553" i="11"/>
  <c r="E384" i="11"/>
  <c r="E466" i="11"/>
  <c r="E400" i="11"/>
  <c r="E524" i="11"/>
  <c r="O428" i="11"/>
  <c r="E430" i="11"/>
  <c r="E386" i="11"/>
  <c r="E401" i="11"/>
  <c r="O497" i="11"/>
  <c r="O138" i="11"/>
  <c r="O418" i="11"/>
  <c r="E391" i="11"/>
  <c r="O359" i="11"/>
  <c r="O351" i="11"/>
  <c r="O323" i="11"/>
  <c r="O315" i="11"/>
  <c r="O253" i="11"/>
  <c r="O18" i="11"/>
  <c r="O620" i="11"/>
  <c r="O619" i="11"/>
  <c r="O357" i="11"/>
  <c r="O333" i="11"/>
  <c r="O226" i="11"/>
  <c r="O218" i="11"/>
  <c r="O210" i="11"/>
  <c r="O204" i="11"/>
  <c r="O197" i="11"/>
  <c r="O169" i="11"/>
  <c r="O438" i="11"/>
  <c r="O574" i="11"/>
  <c r="O484" i="11"/>
  <c r="O368" i="11"/>
  <c r="O576" i="11"/>
  <c r="O569" i="11"/>
  <c r="O393" i="11"/>
  <c r="O567" i="11"/>
  <c r="O14" i="11"/>
  <c r="O445" i="11"/>
  <c r="O221" i="11"/>
  <c r="O20" i="11"/>
  <c r="O527" i="11"/>
  <c r="O76" i="11"/>
  <c r="E452" i="11"/>
  <c r="E404" i="11"/>
  <c r="O552" i="11"/>
  <c r="O235" i="11"/>
  <c r="O703" i="11"/>
  <c r="E451" i="11"/>
  <c r="E405" i="11"/>
  <c r="O358" i="11"/>
  <c r="O412" i="11"/>
  <c r="O592" i="11"/>
  <c r="O696" i="11"/>
  <c r="O219" i="11"/>
  <c r="O180" i="11"/>
  <c r="O144" i="11"/>
  <c r="O648" i="11"/>
  <c r="O595" i="11"/>
  <c r="O684" i="11"/>
  <c r="O525" i="11"/>
  <c r="O570" i="11"/>
  <c r="O589" i="11"/>
  <c r="O407" i="11"/>
  <c r="O690" i="11"/>
  <c r="O580" i="11"/>
  <c r="O622" i="11"/>
  <c r="O305" i="11"/>
  <c r="O530" i="11"/>
  <c r="O705" i="11"/>
  <c r="O234" i="11"/>
  <c r="O62" i="11"/>
  <c r="E470" i="11"/>
  <c r="O500" i="11"/>
  <c r="O397" i="11"/>
  <c r="O247" i="11"/>
  <c r="O78" i="11"/>
  <c r="O335" i="11"/>
  <c r="O85" i="11"/>
  <c r="E471" i="11"/>
  <c r="O382" i="11"/>
  <c r="O147" i="11"/>
  <c r="O662" i="11"/>
  <c r="O352" i="11"/>
  <c r="O306" i="11"/>
  <c r="O536" i="11"/>
  <c r="O173" i="11"/>
  <c r="M152" i="11"/>
  <c r="N152" i="11" s="1"/>
  <c r="M34" i="11"/>
  <c r="N34" i="11" s="1"/>
  <c r="J34" i="11"/>
  <c r="O602" i="11"/>
  <c r="P597" i="11" s="1"/>
  <c r="O591" i="11"/>
  <c r="O31" i="11"/>
  <c r="J33" i="11"/>
  <c r="M33" i="11"/>
  <c r="N33" i="11" s="1"/>
  <c r="O454" i="11"/>
  <c r="O277" i="11"/>
  <c r="O48" i="11"/>
  <c r="O126" i="11"/>
  <c r="O695" i="11"/>
  <c r="O307" i="11"/>
  <c r="O316" i="11"/>
  <c r="O22" i="11"/>
  <c r="O463" i="11"/>
  <c r="O30" i="11"/>
  <c r="O674" i="11"/>
  <c r="O507" i="11"/>
  <c r="O468" i="11"/>
  <c r="O276" i="11"/>
  <c r="O185" i="11"/>
  <c r="O402" i="11"/>
  <c r="M29" i="11"/>
  <c r="N29" i="11" s="1"/>
  <c r="J29" i="11"/>
  <c r="E523" i="11"/>
  <c r="O423" i="11"/>
  <c r="O594" i="11"/>
  <c r="O11" i="11"/>
  <c r="O38" i="11"/>
  <c r="O631" i="11"/>
  <c r="M153" i="11"/>
  <c r="N153" i="11" s="1"/>
  <c r="M145" i="11"/>
  <c r="N145" i="11" s="1"/>
  <c r="J145" i="11"/>
  <c r="M143" i="11"/>
  <c r="N143" i="11" s="1"/>
  <c r="M137" i="11"/>
  <c r="N137" i="11" s="1"/>
  <c r="M136" i="11"/>
  <c r="N136" i="11" s="1"/>
  <c r="M128" i="11"/>
  <c r="N128" i="11" s="1"/>
  <c r="M129" i="11"/>
  <c r="N129" i="11" s="1"/>
  <c r="M120" i="11"/>
  <c r="N120" i="11" s="1"/>
  <c r="M121" i="11"/>
  <c r="N121" i="11" s="1"/>
  <c r="M112" i="11"/>
  <c r="N112" i="11" s="1"/>
  <c r="M113" i="11"/>
  <c r="N113" i="11" s="1"/>
  <c r="O111" i="11"/>
  <c r="M104" i="11"/>
  <c r="N104" i="11" s="1"/>
  <c r="M105" i="11"/>
  <c r="N105" i="11" s="1"/>
  <c r="M97" i="11"/>
  <c r="N97" i="11" s="1"/>
  <c r="M96" i="11"/>
  <c r="N96" i="11" s="1"/>
  <c r="O95" i="11"/>
  <c r="M88" i="11"/>
  <c r="N88" i="11" s="1"/>
  <c r="M87" i="11"/>
  <c r="N87" i="11" s="1"/>
  <c r="M79" i="11"/>
  <c r="N79" i="11" s="1"/>
  <c r="M80" i="11"/>
  <c r="N80" i="11" s="1"/>
  <c r="M69" i="11"/>
  <c r="N69" i="11" s="1"/>
  <c r="M68" i="11"/>
  <c r="N68" i="11" s="1"/>
  <c r="O67" i="11"/>
  <c r="M60" i="11"/>
  <c r="N60" i="11" s="1"/>
  <c r="O60" i="11" s="1"/>
  <c r="M61" i="11"/>
  <c r="N61" i="11" s="1"/>
  <c r="O61" i="11" s="1"/>
  <c r="M50" i="11"/>
  <c r="N50" i="11" s="1"/>
  <c r="M45" i="11"/>
  <c r="N45" i="11" s="1"/>
  <c r="M49" i="11"/>
  <c r="N49" i="11" s="1"/>
  <c r="M41" i="11"/>
  <c r="N41" i="11" s="1"/>
  <c r="M42" i="11"/>
  <c r="N42" i="11" s="1"/>
  <c r="M37" i="11"/>
  <c r="N37" i="11" s="1"/>
  <c r="O37" i="11" s="1"/>
  <c r="P612" i="11" l="1"/>
  <c r="P297" i="11"/>
  <c r="P585" i="11"/>
  <c r="P625" i="11"/>
  <c r="P326" i="11"/>
  <c r="P5" i="11"/>
  <c r="P206" i="11"/>
  <c r="O29" i="11"/>
  <c r="P378" i="11"/>
  <c r="P162" i="11"/>
  <c r="O69" i="11"/>
  <c r="O152" i="11"/>
  <c r="O79" i="11"/>
  <c r="O33" i="11"/>
  <c r="O129" i="11"/>
  <c r="O34" i="11"/>
  <c r="O45" i="11"/>
  <c r="O97" i="11"/>
  <c r="O153" i="11"/>
  <c r="O143" i="11"/>
  <c r="O145" i="11"/>
  <c r="O136" i="11"/>
  <c r="O137" i="11"/>
  <c r="O128" i="11"/>
  <c r="O120" i="11"/>
  <c r="O121" i="11"/>
  <c r="O113" i="11"/>
  <c r="O112" i="11"/>
  <c r="O104" i="11"/>
  <c r="O105" i="11"/>
  <c r="O96" i="11"/>
  <c r="O88" i="11"/>
  <c r="O87" i="11"/>
  <c r="O80" i="11"/>
  <c r="O68" i="11"/>
  <c r="O49" i="11"/>
  <c r="O50" i="11"/>
  <c r="O42" i="11"/>
  <c r="O41" i="11"/>
  <c r="P24" i="11" l="1"/>
  <c r="A25" i="11" l="1"/>
  <c r="A24" i="11" l="1"/>
  <c r="A23" i="11"/>
  <c r="A931" i="11" l="1"/>
  <c r="A5" i="11"/>
  <c r="A8" i="11" l="1"/>
  <c r="A9" i="11" s="1"/>
  <c r="A10" i="11" s="1"/>
  <c r="A11" i="11" s="1"/>
  <c r="M932" i="11"/>
  <c r="A12" i="11" l="1"/>
  <c r="P933" i="11"/>
  <c r="A13" i="11" l="1"/>
  <c r="A14" i="11" s="1"/>
  <c r="P935" i="11"/>
  <c r="P934" i="11"/>
  <c r="A15" i="11" l="1"/>
  <c r="P936" i="11"/>
  <c r="P2" i="11" s="1"/>
  <c r="A16" i="11" l="1"/>
  <c r="A17" i="11" l="1"/>
  <c r="A18" i="11" l="1"/>
  <c r="A19" i="11" s="1"/>
  <c r="A20" i="11" s="1"/>
  <c r="A21" i="11" s="1"/>
  <c r="A22" i="11" s="1"/>
  <c r="A28" i="11" l="1"/>
  <c r="A29" i="11" s="1"/>
  <c r="A30" i="11" s="1"/>
  <c r="A31" i="11" l="1"/>
  <c r="A32" i="11" s="1"/>
  <c r="A33" i="11" s="1"/>
  <c r="A34" i="11" s="1"/>
  <c r="A36" i="11" s="1"/>
  <c r="A37" i="11" s="1"/>
  <c r="A38" i="11" s="1"/>
  <c r="A39" i="11" s="1"/>
  <c r="A40" i="11" s="1"/>
  <c r="A41" i="11" s="1"/>
  <c r="A42" i="11" s="1"/>
  <c r="A44" i="11" s="1"/>
  <c r="A45" i="11" s="1"/>
  <c r="A46" i="11" s="1"/>
  <c r="A47" i="11" s="1"/>
  <c r="A48" i="11" s="1"/>
  <c r="A49" i="11" s="1"/>
  <c r="A50" i="11" s="1"/>
  <c r="A52" i="11" s="1"/>
  <c r="A53" i="11" s="1"/>
  <c r="A54" i="11" s="1"/>
  <c r="A56" i="11" s="1"/>
  <c r="A57" i="11" s="1"/>
  <c r="A58" i="11" s="1"/>
  <c r="A59" i="11" s="1"/>
  <c r="A60" i="11" s="1"/>
  <c r="A61" i="11" s="1"/>
  <c r="A62" i="11" s="1"/>
  <c r="A64" i="11" s="1"/>
  <c r="A65" i="11" s="1"/>
  <c r="A66" i="11" s="1"/>
  <c r="A67" i="11" s="1"/>
  <c r="A68" i="11" s="1"/>
  <c r="A69" i="11" s="1"/>
  <c r="A70" i="11" s="1"/>
  <c r="A72" i="11" s="1"/>
  <c r="A73" i="11" s="1"/>
  <c r="A75" i="11" s="1"/>
  <c r="A76" i="11" s="1"/>
  <c r="A77" i="11" s="1"/>
  <c r="A78" i="11" s="1"/>
  <c r="A79" i="11" s="1"/>
  <c r="A80" i="11" s="1"/>
  <c r="A81" i="11" s="1"/>
  <c r="A83" i="11" s="1"/>
  <c r="A84" i="11" s="1"/>
  <c r="A85" i="11" s="1"/>
  <c r="A86" i="11" s="1"/>
  <c r="A87" i="11" s="1"/>
  <c r="A88" i="11" s="1"/>
  <c r="A89" i="11" s="1"/>
  <c r="A92" i="11" s="1"/>
  <c r="A93" i="11" s="1"/>
  <c r="A94" i="11" s="1"/>
  <c r="A95" i="11" s="1"/>
  <c r="A96" i="11" s="1"/>
  <c r="A97" i="11" s="1"/>
  <c r="A98" i="11" s="1"/>
  <c r="A100" i="11" s="1"/>
  <c r="A101" i="11" s="1"/>
  <c r="A102" i="11" s="1"/>
  <c r="A103" i="11" s="1"/>
  <c r="A104" i="11" s="1"/>
  <c r="A105" i="11" s="1"/>
  <c r="A106" i="11" s="1"/>
  <c r="A108" i="11" s="1"/>
  <c r="A109" i="11" s="1"/>
  <c r="A110" i="11" s="1"/>
  <c r="A111" i="11" s="1"/>
  <c r="A112" i="11" s="1"/>
  <c r="A113" i="11" s="1"/>
  <c r="A114" i="11" s="1"/>
  <c r="A116" i="11" s="1"/>
  <c r="A117" i="11" s="1"/>
  <c r="A118" i="11" s="1"/>
  <c r="A119" i="11" s="1"/>
  <c r="A120" i="11" s="1"/>
  <c r="A121" i="11" s="1"/>
  <c r="A122" i="11" s="1"/>
  <c r="A124" i="11" s="1"/>
  <c r="A125" i="11" s="1"/>
  <c r="A126" i="11" s="1"/>
  <c r="A127" i="11" s="1"/>
  <c r="A128" i="11" s="1"/>
  <c r="A129" i="11" s="1"/>
  <c r="A130" i="11" s="1"/>
  <c r="A132" i="11" s="1"/>
  <c r="A133" i="11" s="1"/>
  <c r="A134" i="11" s="1"/>
  <c r="A135" i="11" s="1"/>
  <c r="A136" i="11" s="1"/>
  <c r="A137" i="11" s="1"/>
  <c r="A138" i="11" s="1"/>
  <c r="A141" i="11" s="1"/>
  <c r="A142" i="11" s="1"/>
  <c r="A143" i="11" s="1"/>
  <c r="A144" i="11" s="1"/>
  <c r="A145" i="11" s="1"/>
  <c r="A146" i="11" s="1"/>
  <c r="A147" i="11" s="1"/>
  <c r="A149" i="11" s="1"/>
  <c r="A150" i="11" s="1"/>
  <c r="A151" i="11" s="1"/>
  <c r="A152" i="11" s="1"/>
  <c r="A153" i="11" s="1"/>
  <c r="A154" i="11" s="1"/>
  <c r="A155" i="11" s="1"/>
  <c r="A158" i="11" s="1"/>
  <c r="A159" i="11" s="1"/>
  <c r="A160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201" i="11" s="1"/>
  <c r="A204" i="11" s="1"/>
  <c r="A210" i="11" s="1"/>
  <c r="A211" i="11" s="1"/>
  <c r="A212" i="11" s="1"/>
  <c r="A213" i="11" s="1"/>
  <c r="A214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4" i="11" s="1"/>
  <c r="A235" i="11" s="1"/>
  <c r="A236" i="11" s="1"/>
  <c r="A237" i="11" s="1"/>
  <c r="A238" i="11" s="1"/>
  <c r="A239" i="11" s="1"/>
  <c r="A240" i="11" s="1"/>
  <c r="A243" i="11" s="1"/>
  <c r="A244" i="11" s="1"/>
  <c r="A245" i="11" s="1"/>
  <c r="A246" i="11" s="1"/>
  <c r="A247" i="11" s="1"/>
  <c r="A248" i="11" s="1"/>
  <c r="A249" i="11" s="1"/>
  <c r="A253" i="11" s="1"/>
  <c r="A256" i="11" s="1"/>
  <c r="A260" i="11" s="1"/>
  <c r="A263" i="11" s="1"/>
  <c r="A267" i="11" s="1"/>
  <c r="A268" i="11" s="1"/>
  <c r="A271" i="11" s="1"/>
  <c r="A272" i="11" s="1"/>
  <c r="A276" i="11" s="1"/>
  <c r="A277" i="11" s="1"/>
  <c r="A281" i="11" s="1"/>
  <c r="A282" i="11" s="1"/>
  <c r="A283" i="11" s="1"/>
  <c r="A286" i="11" s="1"/>
  <c r="A287" i="11" s="1"/>
  <c r="A288" i="11" s="1"/>
  <c r="A289" i="11" s="1"/>
  <c r="A290" i="11" s="1"/>
  <c r="A291" i="11" s="1"/>
  <c r="A292" i="11" s="1"/>
  <c r="A295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2" i="11" s="1"/>
  <c r="A313" i="11" s="1"/>
  <c r="A314" i="11" s="1"/>
  <c r="A315" i="11" s="1"/>
  <c r="A316" i="11" s="1"/>
  <c r="A319" i="11" s="1"/>
  <c r="A320" i="11" s="1"/>
  <c r="A321" i="11" s="1"/>
  <c r="A322" i="11" s="1"/>
  <c r="A323" i="11" s="1"/>
  <c r="A324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4" i="11" s="1"/>
  <c r="A355" i="11" s="1"/>
  <c r="A356" i="11" s="1"/>
  <c r="A357" i="11" s="1"/>
  <c r="A358" i="11" s="1"/>
  <c r="A359" i="11" s="1"/>
  <c r="A360" i="11" s="1"/>
  <c r="A361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82" i="11" s="1"/>
  <c r="A387" i="11" s="1"/>
  <c r="A392" i="11" s="1"/>
  <c r="A393" i="11" s="1"/>
  <c r="A394" i="11" s="1"/>
  <c r="A397" i="11" s="1"/>
  <c r="A402" i="11" s="1"/>
  <c r="A407" i="11" s="1"/>
  <c r="A412" i="11" s="1"/>
  <c r="A417" i="11" s="1"/>
  <c r="A418" i="11" s="1"/>
  <c r="A419" i="11" s="1"/>
  <c r="A420" i="11" s="1"/>
  <c r="A423" i="11" s="1"/>
  <c r="A428" i="11" s="1"/>
  <c r="A433" i="11" s="1"/>
  <c r="A434" i="11" s="1"/>
  <c r="A435" i="11" s="1"/>
  <c r="A438" i="11" s="1"/>
  <c r="A443" i="11" s="1"/>
  <c r="A444" i="11" s="1"/>
  <c r="A445" i="11" s="1"/>
  <c r="A448" i="11" s="1"/>
  <c r="A453" i="11" s="1"/>
  <c r="A454" i="11" s="1"/>
  <c r="A455" i="11" s="1"/>
  <c r="A458" i="11" s="1"/>
  <c r="A463" i="11" s="1"/>
  <c r="A468" i="11" s="1"/>
  <c r="A473" i="11" s="1"/>
  <c r="A474" i="11" s="1"/>
  <c r="A475" i="11" s="1"/>
  <c r="A476" i="11" s="1"/>
  <c r="A479" i="11" s="1"/>
  <c r="A484" i="11" s="1"/>
  <c r="A489" i="11" s="1"/>
  <c r="A494" i="11" s="1"/>
  <c r="A495" i="11" s="1"/>
  <c r="A496" i="11" s="1"/>
  <c r="A497" i="11" s="1"/>
  <c r="A500" i="11" s="1"/>
  <c r="A505" i="11" s="1"/>
  <c r="A506" i="11" s="1"/>
  <c r="A507" i="11" s="1"/>
  <c r="A510" i="11" s="1"/>
  <c r="A515" i="11" s="1"/>
  <c r="A520" i="11" s="1"/>
  <c r="A525" i="11" s="1"/>
  <c r="A526" i="11" s="1"/>
  <c r="A527" i="11" s="1"/>
  <c r="A530" i="11" s="1"/>
  <c r="A531" i="11" s="1"/>
  <c r="A532" i="11" s="1"/>
  <c r="A533" i="11" s="1"/>
  <c r="A536" i="11" s="1"/>
  <c r="A537" i="11" s="1"/>
  <c r="A538" i="11" s="1"/>
  <c r="A541" i="11" s="1"/>
  <c r="A542" i="11" s="1"/>
  <c r="A543" i="11" s="1"/>
  <c r="A544" i="11" s="1"/>
  <c r="A547" i="11" s="1"/>
  <c r="A548" i="11" s="1"/>
  <c r="A549" i="11" s="1"/>
  <c r="A550" i="11" s="1"/>
  <c r="A551" i="11" s="1"/>
  <c r="A552" i="11" s="1"/>
  <c r="A553" i="11" s="1"/>
  <c r="A554" i="11" s="1"/>
  <c r="A557" i="11" s="1"/>
  <c r="A560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8" i="11" s="1"/>
  <c r="A589" i="11" l="1"/>
  <c r="A590" i="11" l="1"/>
  <c r="A591" i="11" s="1"/>
  <c r="A592" i="11" s="1"/>
  <c r="A593" i="11" s="1"/>
  <c r="A594" i="11" s="1"/>
  <c r="A595" i="11" l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5" i="11" s="1"/>
  <c r="A616" i="11" s="1"/>
  <c r="A619" i="11" s="1"/>
  <c r="A620" i="11" s="1"/>
  <c r="A621" i="11" s="1"/>
  <c r="A622" i="11" s="1"/>
  <c r="A623" i="11" s="1"/>
  <c r="A629" i="11" s="1"/>
  <c r="A630" i="11" s="1"/>
  <c r="A631" i="11" s="1"/>
  <c r="A634" i="11" s="1"/>
  <c r="A635" i="11" s="1"/>
  <c r="A636" i="11" s="1"/>
  <c r="A637" i="11" s="1"/>
  <c r="A638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8" i="11" s="1"/>
  <c r="A681" i="11" s="1"/>
  <c r="A682" i="11" s="1"/>
  <c r="A683" i="11" s="1"/>
  <c r="A684" i="11" s="1"/>
  <c r="A685" i="11" s="1"/>
  <c r="A686" i="11" s="1"/>
  <c r="A689" i="11" s="1"/>
  <c r="A690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2" i="11" s="1"/>
  <c r="A723" i="11" s="1"/>
  <c r="A726" i="11" s="1"/>
  <c r="A727" i="11" s="1"/>
  <c r="A728" i="11" s="1"/>
  <c r="A729" i="11" s="1"/>
  <c r="A733" i="11" s="1"/>
  <c r="A734" i="11" s="1"/>
  <c r="A735" i="11" s="1"/>
  <c r="A736" i="11" s="1"/>
  <c r="A737" i="11" s="1"/>
  <c r="A738" i="11" s="1"/>
  <c r="A739" i="11" s="1"/>
  <c r="A740" i="11" s="1"/>
  <c r="A743" i="11" s="1"/>
  <c r="A744" i="11" s="1"/>
  <c r="A745" i="11" s="1"/>
  <c r="A746" i="11" s="1"/>
  <c r="A747" i="11" s="1"/>
  <c r="A748" i="11" s="1"/>
  <c r="A751" i="11" s="1"/>
  <c r="A752" i="11" s="1"/>
  <c r="A753" i="11" s="1"/>
  <c r="A754" i="11" s="1"/>
  <c r="A755" i="11" s="1"/>
  <c r="A756" i="11" s="1"/>
  <c r="A760" i="11" s="1"/>
  <c r="A761" i="11" s="1"/>
  <c r="A762" i="11" s="1"/>
  <c r="A765" i="11" s="1"/>
  <c r="A766" i="11" s="1"/>
  <c r="A767" i="11" s="1"/>
  <c r="A770" i="11" s="1"/>
  <c r="A771" i="11" s="1"/>
  <c r="A774" i="11" s="1"/>
  <c r="A775" i="11" s="1"/>
  <c r="A776" i="11" s="1"/>
  <c r="A779" i="11" s="1"/>
  <c r="A780" i="11" s="1"/>
  <c r="A781" i="11" s="1"/>
  <c r="A784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22" i="11" s="1"/>
  <c r="A823" i="11" s="1"/>
  <c r="A824" i="11" s="1"/>
  <c r="A825" i="11" s="1"/>
  <c r="A826" i="11" s="1"/>
  <c r="A827" i="11" s="1"/>
  <c r="A830" i="11" s="1"/>
  <c r="A831" i="11" s="1"/>
  <c r="A832" i="11" s="1"/>
  <c r="A835" i="11" s="1"/>
  <c r="A836" i="11" s="1"/>
  <c r="A839" i="11" s="1"/>
  <c r="A840" i="11" s="1"/>
  <c r="A841" i="11" s="1"/>
  <c r="A842" i="11" s="1"/>
  <c r="A843" i="11" s="1"/>
  <c r="A846" i="11" s="1"/>
  <c r="A847" i="11" s="1"/>
  <c r="A848" i="11" s="1"/>
  <c r="A849" i="11" s="1"/>
  <c r="A850" i="11" s="1"/>
  <c r="A851" i="11" s="1"/>
  <c r="A852" i="11" s="1"/>
  <c r="A853" i="11" s="1"/>
  <c r="A856" i="11" s="1"/>
  <c r="A857" i="11" s="1"/>
  <c r="A860" i="11" s="1"/>
  <c r="A861" i="11" s="1"/>
  <c r="A862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5" i="11" s="1"/>
  <c r="A886" i="11" s="1"/>
  <c r="A887" i="11" s="1"/>
  <c r="A888" i="11" s="1"/>
  <c r="A889" i="11" s="1"/>
  <c r="A890" i="11" s="1"/>
  <c r="A891" i="11" s="1"/>
  <c r="A892" i="11" s="1"/>
  <c r="A895" i="11" s="1"/>
  <c r="A896" i="11" s="1"/>
  <c r="A899" i="11" s="1"/>
  <c r="A900" i="11" s="1"/>
  <c r="A905" i="11" s="1"/>
  <c r="A906" i="11" s="1"/>
  <c r="A911" i="11" s="1"/>
  <c r="A912" i="11" s="1"/>
  <c r="A913" i="11" s="1"/>
  <c r="A914" i="11" s="1"/>
  <c r="A915" i="11" s="1"/>
  <c r="A916" i="11" l="1"/>
  <c r="A917" i="11" s="1"/>
  <c r="A918" i="11" s="1"/>
  <c r="A919" i="11" s="1"/>
  <c r="A920" i="11" s="1"/>
  <c r="A921" i="11" s="1"/>
  <c r="A924" i="11" s="1"/>
  <c r="A925" i="11" s="1"/>
  <c r="A926" i="11" s="1"/>
  <c r="A927" i="11" s="1"/>
  <c r="A928" i="11" s="1"/>
  <c r="A929" i="11" s="1"/>
</calcChain>
</file>

<file path=xl/sharedStrings.xml><?xml version="1.0" encoding="utf-8"?>
<sst xmlns="http://schemas.openxmlformats.org/spreadsheetml/2006/main" count="1541" uniqueCount="634">
  <si>
    <t>Summary</t>
  </si>
  <si>
    <t>Amount</t>
  </si>
  <si>
    <t>TOTAL ITEM COST</t>
  </si>
  <si>
    <t>EA</t>
  </si>
  <si>
    <t>LF</t>
  </si>
  <si>
    <t>Date:</t>
  </si>
  <si>
    <t>Project:</t>
  </si>
  <si>
    <t>Project Location:</t>
  </si>
  <si>
    <t>UOM</t>
  </si>
  <si>
    <t>Total Labor Cost</t>
  </si>
  <si>
    <t>Unit Material Cost</t>
  </si>
  <si>
    <t>Total Material Cost</t>
  </si>
  <si>
    <t>TOTAL TRADE COST</t>
  </si>
  <si>
    <t>Description</t>
  </si>
  <si>
    <t>Quantity</t>
  </si>
  <si>
    <t>Wastage</t>
  </si>
  <si>
    <t>Qty. With Wastage</t>
  </si>
  <si>
    <t>Unit Labor Hrs.</t>
  </si>
  <si>
    <t>Cost/Hr</t>
  </si>
  <si>
    <t>Manhours</t>
  </si>
  <si>
    <t>Labor/Hour</t>
  </si>
  <si>
    <t>Sr#</t>
  </si>
  <si>
    <t>Total Labor Hrs.</t>
  </si>
  <si>
    <t xml:space="preserve">Trades Total </t>
  </si>
  <si>
    <t>Material Tax</t>
  </si>
  <si>
    <t>OH&amp;P</t>
  </si>
  <si>
    <t>TOTALS</t>
  </si>
  <si>
    <t>TOTAL COST</t>
  </si>
  <si>
    <t>Drawing Ref.</t>
  </si>
  <si>
    <t>Sub- Division Codes</t>
  </si>
  <si>
    <t>DIV.02 EXISTING CONDITIONS</t>
  </si>
  <si>
    <t>DIV.09 FINISHES</t>
  </si>
  <si>
    <t>SF</t>
  </si>
  <si>
    <t>Screw</t>
  </si>
  <si>
    <t>Adhesive</t>
  </si>
  <si>
    <t>Tapping</t>
  </si>
  <si>
    <t>DIV.07 THERMAL &amp; MOISTURE PROTECTION</t>
  </si>
  <si>
    <t>DIV.08 OPENINGS</t>
  </si>
  <si>
    <t>(1) Layer Of 7/16" Osb Wall Sheathing On One Side</t>
  </si>
  <si>
    <t>Number Of Sheets( Assume Size 4' X 8')</t>
  </si>
  <si>
    <t>Acoustical Sealants/Caulking</t>
  </si>
  <si>
    <t>(1) Layer Of 1/2" Exterior Gypsum Wall Board Sheathing On One Side</t>
  </si>
  <si>
    <t>(1) Layer Of 1/2" Cementitious Backer Board @ Wet Areas Behind Tiles</t>
  </si>
  <si>
    <t>Backing/Blocking For Wall Mounted Fixtures</t>
  </si>
  <si>
    <t>Door Trims</t>
  </si>
  <si>
    <t>Wall Tiles @ Washroom</t>
  </si>
  <si>
    <t>Paint On Door Trims</t>
  </si>
  <si>
    <t>DIV.10 SPECIALTIES</t>
  </si>
  <si>
    <t>Wall Mirror</t>
  </si>
  <si>
    <t>Soap Dispenser</t>
  </si>
  <si>
    <t>Tissue Paper Holder</t>
  </si>
  <si>
    <t>18" Grab Bar</t>
  </si>
  <si>
    <t>24" Grab Bar</t>
  </si>
  <si>
    <t>36" Grab Bar</t>
  </si>
  <si>
    <t>Towel Hanger</t>
  </si>
  <si>
    <t>DIV.12 FURNISHINGS</t>
  </si>
  <si>
    <t>Countertop</t>
  </si>
  <si>
    <t>Backsplash</t>
  </si>
  <si>
    <t>Shower Enclosure With Shower Head And Shower Drain</t>
  </si>
  <si>
    <t>Lavatory With Faucet</t>
  </si>
  <si>
    <t>Kitchen Sink With Faucet</t>
  </si>
  <si>
    <t>DIV.22 PLUMBING</t>
  </si>
  <si>
    <t>Carbon Monoxide Detector</t>
  </si>
  <si>
    <t>Kitchen Range Hood</t>
  </si>
  <si>
    <t>DEVICES</t>
  </si>
  <si>
    <t>FANS</t>
  </si>
  <si>
    <t>DIV.26 ELECTRICAL</t>
  </si>
  <si>
    <t>1-Pole Switch</t>
  </si>
  <si>
    <t>1-Pole Dimmer Switch</t>
  </si>
  <si>
    <t>Wall Mounted Light Fixture, Weatherproof</t>
  </si>
  <si>
    <t>Wall Mounted Light Fixture</t>
  </si>
  <si>
    <t>Pendant Light Fixture</t>
  </si>
  <si>
    <t>Duplex Receptacles, Ground Fault Circuit Interrupter, Weatherproof</t>
  </si>
  <si>
    <t>Duplex Receptacles, Ground Fault Circuit Interrupter</t>
  </si>
  <si>
    <t>Duplex Receptacles</t>
  </si>
  <si>
    <t>2#12, 1#12 Gnd Cu Wire Service For Receptacles</t>
  </si>
  <si>
    <t>2#12, 1#12 Gnd Cu Wire Service For Lights</t>
  </si>
  <si>
    <t>2#12 Cu Wire Connection For Lights</t>
  </si>
  <si>
    <t xml:space="preserve">3/4" Emt Conduit </t>
  </si>
  <si>
    <t xml:space="preserve">1/2" Emt Conduit </t>
  </si>
  <si>
    <t>Tv Outlet</t>
  </si>
  <si>
    <t>Gas Meter</t>
  </si>
  <si>
    <t>DIV.03 CONCRETE</t>
  </si>
  <si>
    <t>Concrete Wall Foundation</t>
  </si>
  <si>
    <t>Excavation</t>
  </si>
  <si>
    <t>CY</t>
  </si>
  <si>
    <t>Compact Exist. Subgrade</t>
  </si>
  <si>
    <t>Formwork</t>
  </si>
  <si>
    <t>Concrete, 3,500 Psi</t>
  </si>
  <si>
    <t>Backfill, Select Borrow</t>
  </si>
  <si>
    <t>Hauling Of Excave. Soil</t>
  </si>
  <si>
    <t>Concrete Pad Foundation</t>
  </si>
  <si>
    <t>#3 Fine Gravel, 4"</t>
  </si>
  <si>
    <t>Polyolefin Vapor Barrier</t>
  </si>
  <si>
    <t>Concrete, 4,000 Psi</t>
  </si>
  <si>
    <t>Trowel/ Float Finish</t>
  </si>
  <si>
    <t/>
  </si>
  <si>
    <t>DIV.05 METALS</t>
  </si>
  <si>
    <t>Structural Metal Framing</t>
  </si>
  <si>
    <t>Simpson-A35</t>
  </si>
  <si>
    <t>Simpson-Cs16</t>
  </si>
  <si>
    <t>Heavy Timber Construction</t>
  </si>
  <si>
    <t>Pole Construction (Posts/Columns)</t>
  </si>
  <si>
    <t>Heavy Timber Framing (Beams)</t>
  </si>
  <si>
    <t>Heavy Timber Trusses (Joists/Rafters &amp; Trusses)</t>
  </si>
  <si>
    <t>2" X 12" Wood Blocking</t>
  </si>
  <si>
    <t>2" X 6" Wood Blocking</t>
  </si>
  <si>
    <t>Sheathing</t>
  </si>
  <si>
    <t xml:space="preserve">Insulating Sheathing </t>
  </si>
  <si>
    <t>Subfloor Sheathing</t>
  </si>
  <si>
    <t>Shop Fabricated Structural Wood</t>
  </si>
  <si>
    <t>Pre-Engineered Wood Trusses</t>
  </si>
  <si>
    <t>4" Toe Kick</t>
  </si>
  <si>
    <t>DIV.06 WOOD, PLASTICS &amp; COMPOSITES</t>
  </si>
  <si>
    <t>Notes for Clients</t>
  </si>
  <si>
    <t>THIS EXCEL STATEMENT IS EDITABLE AND CAN BE MODIFIED AS REQUIRED.</t>
  </si>
  <si>
    <t>CHANGE IN PERCENTAGES WILL CHANGE THE AMOUNT REFLECTING OF RESPECTIVE HEAD.</t>
  </si>
  <si>
    <t>PRICES OF LABOR AND MATERIALS ARE TAKEN FROM ONLINE MARKET RESOURCES AND CAN DIFFER FROM LOCAL VENDOR/SUPPLIER, RESPECTED CLIENTS ARE ADVISED TO DOUBLE CHECK TO MAKE SURE THE BID IS COMPETITIVE.</t>
  </si>
  <si>
    <t>SEPARATE PERMIT SHALL BE REQUIRED FOR SIGNS, FENCES, MOUNTED YARD LIGHTING FOUNDATIONS, HVAC UNITS, AND PLANTERS AS PER THE CITY NOTES.</t>
  </si>
  <si>
    <t>GENERAL REQUIREMENTS AND TEMPORARY SERVICES FEE AND TAX COST NEEDS TO BE ADDED.</t>
  </si>
  <si>
    <t>Demolition Of Existing Items</t>
  </si>
  <si>
    <t xml:space="preserve">Patch, Repair &amp; Seal Floor </t>
  </si>
  <si>
    <t>Relocate Existing Pendant Light Fixture</t>
  </si>
  <si>
    <t>Remove All Exiting Fixtures, Fittings And Cabinetry</t>
  </si>
  <si>
    <t>Cast-In Place Concrete</t>
  </si>
  <si>
    <t>Sd1/1, 16" X 24" Concrete Slab Mono Footing Reinforced With 2 #4 Continuous Bottom Bars &amp; 1 #4 Top Bar</t>
  </si>
  <si>
    <t>Sd1/2, 16" X 24" Concrete Slab Mono Footing Reinforced With 2 #4 Continuous Bottom Bars &amp; 1 #4 Top Bar</t>
  </si>
  <si>
    <t>Sd1/3, 16" X 24" Concrete Slab Mono Footing Reinforced With 2 #4 Continuous Bottom Bars</t>
  </si>
  <si>
    <t>Sd1/3, 4" X 6" Concrete Wall Curb Reinforced With 1 #4 Continuous Bar</t>
  </si>
  <si>
    <t>Sd1/4, 8" X 4" Concrete Slab Thickened Edge Reinforced With 1 #4 Continuous Bar</t>
  </si>
  <si>
    <t>Sd1/5, 16" X 16" Concrete Slab Bearing Footing Reinforced With 2 #4 Continuous Bottom Bars</t>
  </si>
  <si>
    <t>Sd1/8, 8" X 4" Concrete Slab Step Footing Reinforced With 1 #4 Continuous Footing</t>
  </si>
  <si>
    <t>Sd1/13, 16" X 18" Concrete Footing In Existing Slab Reinforced With 2 #4 Continuous Bars, Bottom</t>
  </si>
  <si>
    <t>Sd1/18, 18" X 18" Concrete Continuous Footing Reinforced With 2 #4 Continuous Bars</t>
  </si>
  <si>
    <t>Footing-1: 24" X 24" X 10" Concrete Pad Footing Reinforced With 3 #4 Bars Each Way</t>
  </si>
  <si>
    <t>Footing-2: 30" X 30" X 20" Concrete Pad Footing Reinforced With 4 #4 Bars Each Way</t>
  </si>
  <si>
    <t>Footing-3: 36" X 36" X 12" Concrete Pad Footing Reinforced With 4 #4 Bars Each Way</t>
  </si>
  <si>
    <t>Footing-4: 42" X 42" X 12" Concrete Pad Footing Reinforced With 5 #4 Bars Each Way</t>
  </si>
  <si>
    <t>Sd1/19, 3'-0" X 5'-6" X  10" Concrete Footing Reinforced With 4 #4 Bars Each Way, #3 Closed Ties @ 8" O.C</t>
  </si>
  <si>
    <t>Sd1/19, 4'-0" X 6'-6" X 10" Concrete Footing Reinforced With 5 #4 Bars Each Way Bottom</t>
  </si>
  <si>
    <t>Concrete For Slab</t>
  </si>
  <si>
    <t>4" Thick Concrete Slab Reinforced With W.W.F Over 6Mil Vapor Barrier Over 4" Thick Aggregate Base Course Over Compacted Grade</t>
  </si>
  <si>
    <t>4" Thick Concrete Slab With Slope Reinforced With W.W.F Over 6Mil Vapor Barrier Over 4" Thick Aggregate Base Course Over Compacted Grade</t>
  </si>
  <si>
    <t>Epoxy Grouting</t>
  </si>
  <si>
    <t>#4 Steel Dowel In Slab @ 24" O.C, 4" Embedment In Existing Footing With Simpson-Set-Xp Epoxy</t>
  </si>
  <si>
    <t>#4 X 16" Long Steel Dowel @ 24" O.C, 4" Embedment In Existing Footing With Simpson-Set-Xp Epoxy</t>
  </si>
  <si>
    <t>2 #4 Steel Dowel In Slab @ 24" O.C, 4" Embedment In Existing Footing With Simpson-Set-Xp Epoxy</t>
  </si>
  <si>
    <t>Framing Hardware</t>
  </si>
  <si>
    <t>0.131" X 3" Nails</t>
  </si>
  <si>
    <t>0.148" X 3-1/4" Toe Nails</t>
  </si>
  <si>
    <t>1/4" X 3-1/2" Simpson-Sds Wood Screws</t>
  </si>
  <si>
    <t>5/8" Dia F1554 Gr-36 Threaded Rod With Simpson Set-Xp Epoxy</t>
  </si>
  <si>
    <t>5/8" Dia Simpson Anchor Bolt @ 48" O.C</t>
  </si>
  <si>
    <t>5/8" Dia Simpson Titan Hd</t>
  </si>
  <si>
    <t>Simpson-2.5T</t>
  </si>
  <si>
    <t>Simpson-66L Strap Tie</t>
  </si>
  <si>
    <t>Simpson-Ac Post Cap</t>
  </si>
  <si>
    <t>Simpson-Cs20 Strap</t>
  </si>
  <si>
    <t>Simpson-Eccloq Post Cap</t>
  </si>
  <si>
    <t>Simpson-H2.5T</t>
  </si>
  <si>
    <t>Simpson-H3</t>
  </si>
  <si>
    <t>Simpson-Hgu9.00-Sds</t>
  </si>
  <si>
    <t>Simpson-Htt4 Holdown</t>
  </si>
  <si>
    <t>Simpson-Htt5 Holdown</t>
  </si>
  <si>
    <t>Simpson-Hucq610-Sds</t>
  </si>
  <si>
    <t>Simpson-Hus26</t>
  </si>
  <si>
    <t>Simpson-Lce4 Post Cap</t>
  </si>
  <si>
    <t>Simpson-Lru26Z</t>
  </si>
  <si>
    <t>Simpson-Lssj26R/Rz</t>
  </si>
  <si>
    <t>Simpson-Lsthd8</t>
  </si>
  <si>
    <t>Simpson-Lthja26</t>
  </si>
  <si>
    <t>Simpson-Lus210</t>
  </si>
  <si>
    <t>Simpson-Lus24</t>
  </si>
  <si>
    <t>Simpson-Lus26</t>
  </si>
  <si>
    <t>Simpson-Lus28</t>
  </si>
  <si>
    <t>Simpson-Sthd14 Holdown</t>
  </si>
  <si>
    <t>Simpson-Sur/L26</t>
  </si>
  <si>
    <t>Simpson-Thaj26</t>
  </si>
  <si>
    <t>Steel Posts</t>
  </si>
  <si>
    <t>Hss 4" X 4" X 1/4" X 10'-0" Steel Post</t>
  </si>
  <si>
    <t>Steel Angle</t>
  </si>
  <si>
    <t>L6X3-1/2X5/16 Steel Angle</t>
  </si>
  <si>
    <t>2-2" X 6" Wood Post, 9'-6" High</t>
  </si>
  <si>
    <t>3-2" X 6" Wood Post, 9'-6" High</t>
  </si>
  <si>
    <t>4" X 4" Wood Post, 9'-6" High</t>
  </si>
  <si>
    <t>4" X 6" Wood Post, 9'-6" High</t>
  </si>
  <si>
    <t>6" X 6" Wood Post, 9'-6" High</t>
  </si>
  <si>
    <t>Beams</t>
  </si>
  <si>
    <t>1-Ply Hip Set Girder Truss With 2" X 6" Bottom Chord</t>
  </si>
  <si>
    <t>2" X 8" Pt Wood Ledger</t>
  </si>
  <si>
    <t>2-2" X 12" Wood Header Beam</t>
  </si>
  <si>
    <t>2-2" X 6" Wood Header Beam</t>
  </si>
  <si>
    <t>3-2" X 6" Wood Header Beam</t>
  </si>
  <si>
    <t>3-2" X 8" Wood Header Beam</t>
  </si>
  <si>
    <t>4" X 10" Wood Header Beam</t>
  </si>
  <si>
    <t>4" X 6" Wood Header Beam</t>
  </si>
  <si>
    <t>6" X 10" Wood Beam</t>
  </si>
  <si>
    <t>6" X 12" Wood Header Beam</t>
  </si>
  <si>
    <t>6" X 6" Wood Beam</t>
  </si>
  <si>
    <t>6" X 8" Wood Hip Beam</t>
  </si>
  <si>
    <t>6" X 8" Wood Ridge Beam</t>
  </si>
  <si>
    <t>8" X 10" Wood Beam</t>
  </si>
  <si>
    <t>Wood Blockings</t>
  </si>
  <si>
    <t>2" X 4" Wood Blocking</t>
  </si>
  <si>
    <t>2" X 6" Wood Nailer</t>
  </si>
  <si>
    <t>2" X 8" Wood Blocking</t>
  </si>
  <si>
    <t>2" X 10" Wood Blocking</t>
  </si>
  <si>
    <t>2" X 12" X 16" Wood Blocking</t>
  </si>
  <si>
    <t>2" X 10" Wood Floor Joists @ 16" O.C</t>
  </si>
  <si>
    <t>2" X 10" Wood Roof Rafters @ 24" O.C</t>
  </si>
  <si>
    <t>2" X 12" Wood Floor Joists @ 16" O.C</t>
  </si>
  <si>
    <t>2" X 6" Wood Rafter Over Framing @ 24" O.C</t>
  </si>
  <si>
    <t>2" X 8" Cantilevered Roof Framing @ 24" O.C</t>
  </si>
  <si>
    <t>2" X 8" Wood Jack Trusses @ 24" O.C</t>
  </si>
  <si>
    <t>2" X 8" Wood Roof Rafters @ 24" O.C</t>
  </si>
  <si>
    <t>Treated Wood Foundation</t>
  </si>
  <si>
    <t>Sill Plates/Mud Plates</t>
  </si>
  <si>
    <t>2" X 6" Pt Sill Plate</t>
  </si>
  <si>
    <t>Treated Wood Rim Boards</t>
  </si>
  <si>
    <t>2" X 12" Wood Rim Board</t>
  </si>
  <si>
    <t>Roof Sheathing</t>
  </si>
  <si>
    <t>Floor Sheathing</t>
  </si>
  <si>
    <t>Shear Wall Sheathing</t>
  </si>
  <si>
    <t>P1</t>
  </si>
  <si>
    <t>3/8" Plywood/Osb Sheathing</t>
  </si>
  <si>
    <t>0.131" X 2-1/2" Nails @ 6" On Edges, @ 12" Oc In Field</t>
  </si>
  <si>
    <t>P2</t>
  </si>
  <si>
    <t>4-Point Bearing Roof Truss With Extended Top Chords</t>
  </si>
  <si>
    <t>Pre-Engineered Common Roof Trusses @ 24" O.C</t>
  </si>
  <si>
    <t>Glued-Laminated Construction (Glu-Lam)</t>
  </si>
  <si>
    <t>5-1/2" X 12" Glue-Lam Wood Beam</t>
  </si>
  <si>
    <t>6-3/4" X 9" Glue-Lam Wood Beam</t>
  </si>
  <si>
    <t>8-3/4" X 9" Glue-Lam Woood Beam</t>
  </si>
  <si>
    <t xml:space="preserve">2'-0" Deep Tall Closets </t>
  </si>
  <si>
    <t>Wood Trim</t>
  </si>
  <si>
    <t>Mill Work/Cabinetry</t>
  </si>
  <si>
    <t>Roof</t>
  </si>
  <si>
    <t>Shingles Roof</t>
  </si>
  <si>
    <t>Composite Asphalt Shingles (Icc Esr)</t>
  </si>
  <si>
    <t>Sheet Membrane Underlayment</t>
  </si>
  <si>
    <t>Ice And Watershield At Eave, Ridge, Valley And Hip Beam</t>
  </si>
  <si>
    <t>Prefinished Metal Gutter</t>
  </si>
  <si>
    <t>2 X 6 Painted Hardieboard Fascia Trim</t>
  </si>
  <si>
    <t>Metal Drip Edge</t>
  </si>
  <si>
    <t>Can Strip</t>
  </si>
  <si>
    <t>5-1/2" X 5-1/4"W. Painted Corbel To Match Existing</t>
  </si>
  <si>
    <t>Metal Downspot</t>
  </si>
  <si>
    <t>Metal Awning</t>
  </si>
  <si>
    <t>New Metal Awning</t>
  </si>
  <si>
    <t>Copper Flashing</t>
  </si>
  <si>
    <t>Blocking As Required Foor New Attachement</t>
  </si>
  <si>
    <t>Copper Drip Cap</t>
  </si>
  <si>
    <t>Hardieboard Trim</t>
  </si>
  <si>
    <t>Flat Roof</t>
  </si>
  <si>
    <t>Tag: 7.8, Rubberized Deck Coating</t>
  </si>
  <si>
    <t>Tag: 7.9, Polyurethane Foam Foam Roofing Ssystem With Light Color Top Coating (Icc Ecr 4063)</t>
  </si>
  <si>
    <t>New Flashing And Weep</t>
  </si>
  <si>
    <t>Metal Gutter</t>
  </si>
  <si>
    <t>Drip  Cap Flashing</t>
  </si>
  <si>
    <t>2 X 6 Hardieboard Trim</t>
  </si>
  <si>
    <t>Doors And Frames</t>
  </si>
  <si>
    <t xml:space="preserve">(2) 1'-6 1/2" X 6'-7 1/2" Solid Wood French Exterior Door W/ Tempered Glass Lites </t>
  </si>
  <si>
    <t xml:space="preserve">(2) 2'-6" X 6'-7 1/2" Solid Wood French Exterior Door W/ Tempered Glass Lites </t>
  </si>
  <si>
    <t xml:space="preserve">3'-0" X 6'-7 1/2" Solid Wood Stile &amp; Rail Exterior Door W/ Glass Lites </t>
  </si>
  <si>
    <t xml:space="preserve">3'-0" X 6'-7 1/2" Solid Wood Stile &amp; Rail Exterior Door </t>
  </si>
  <si>
    <t xml:space="preserve">3'-0" X 7'-0" Solid Wood Stile &amp; Rail Exterior Door </t>
  </si>
  <si>
    <t xml:space="preserve">3'-0" X 7'-6 1/4" Solid Wood French Exterior Door W/ Tempered Glass Lites </t>
  </si>
  <si>
    <t xml:space="preserve">7'-11 3/4 " X 6'-9 1/4" Insulated Steel Overhead Door W/ 1" Thk Veneer Exterior Door </t>
  </si>
  <si>
    <t xml:space="preserve">(2) 1'-7" X 6'-8" Solid Wood Interior Door </t>
  </si>
  <si>
    <t xml:space="preserve">(2) 1'-3" X 6'-8" Solid Wood Interior Door </t>
  </si>
  <si>
    <t xml:space="preserve">1'-9" X 6'-8" Solid Wood Interior Door </t>
  </si>
  <si>
    <t xml:space="preserve">2'-0" X 6'-8" Solid Wood Interior Door </t>
  </si>
  <si>
    <t xml:space="preserve">2'-4" X 6'-8" Solid Wood Interior Door </t>
  </si>
  <si>
    <t xml:space="preserve">2'-6" X 6'-8" Solid Wood Interior Door </t>
  </si>
  <si>
    <t xml:space="preserve">2'-7 1/2" X 6'-8" Solid Wood Interior Door </t>
  </si>
  <si>
    <t xml:space="preserve">2'-8" X 6'-8" Solid Wood Interior Door </t>
  </si>
  <si>
    <t xml:space="preserve">2'-9 1/2" X 6'-8" Solid Wood Interior Door </t>
  </si>
  <si>
    <t xml:space="preserve">3'-2" X 6'-8" Solid Wood Interior Door </t>
  </si>
  <si>
    <t xml:space="preserve">1'-6" X 3'-4" Window Shutter Door </t>
  </si>
  <si>
    <t xml:space="preserve">1'-6" X 4'-0" Window Shutter Door </t>
  </si>
  <si>
    <t xml:space="preserve">1'-6" X 4'-4" Window Shutter Door </t>
  </si>
  <si>
    <t xml:space="preserve">3'-0" X 3'-10" Window Shutter Door </t>
  </si>
  <si>
    <t>Door Hardware</t>
  </si>
  <si>
    <t>Lockset, Dead Bolt, Threshold, Weather- Stripping, Mfr. Standard Assembly W/ Hardware Coordinating W/  Interior Doors</t>
  </si>
  <si>
    <t>Weather Stripping, Complete Garage Door Hardware Package Per Manufacturer</t>
  </si>
  <si>
    <t>Passage Set</t>
  </si>
  <si>
    <t>Privacy Set</t>
  </si>
  <si>
    <t>Privacy Set, Recessed Pulls &amp; Heavy- Duty Pocket Door 'I' Eam Hardware Track And Floor Guide</t>
  </si>
  <si>
    <t>Recessed Pulls &amp; Heavy- Duty Pocket Door 'I' Eam Hardware Track And Floor Guide</t>
  </si>
  <si>
    <t>Lockset</t>
  </si>
  <si>
    <t>Windows</t>
  </si>
  <si>
    <t xml:space="preserve">(2) 1'-4 3/4" X 4'-3 1/2" Casement Painted Steel Window </t>
  </si>
  <si>
    <t xml:space="preserve">(2) 1'-6 1/2" X 6'-7 1/2" Fixed Painted Wood Window </t>
  </si>
  <si>
    <t xml:space="preserve">(2) 1'-6" X 3'-2" Casement Painted Steel Existing Window At New Location </t>
  </si>
  <si>
    <t xml:space="preserve">(2) 1'-6" X 3'-4" Casement Aluminum Window </t>
  </si>
  <si>
    <t xml:space="preserve">(2) 1'-6" X 3'-4" Casement Painted Wood Window </t>
  </si>
  <si>
    <t xml:space="preserve">(2) 1'-6" X 3'-4" Fixed Aluminum Window </t>
  </si>
  <si>
    <t xml:space="preserve">(2) 1'-6" X 3'-4" Fixed Painted Wood Window </t>
  </si>
  <si>
    <t xml:space="preserve">(2) 1'-6" X 4'-1" Casement Painted Wood Window </t>
  </si>
  <si>
    <t xml:space="preserve">(2) 1'-6" X 4'-4" Casement Painted Wood Window </t>
  </si>
  <si>
    <t xml:space="preserve">1'-6" X 2'-2" Casement Painted Steel Existing Window At New Location </t>
  </si>
  <si>
    <t xml:space="preserve">1'-6" X 2'-2" Casement Painted Steel Window </t>
  </si>
  <si>
    <t xml:space="preserve">1'-6" X 3'-2" Casement Painted Steel Existing Window At New Location </t>
  </si>
  <si>
    <t xml:space="preserve">1'-6" X 4'-1" Casement Painted Wood Window </t>
  </si>
  <si>
    <t>Dry Walls</t>
  </si>
  <si>
    <t>Wall Type: 14" Exterior Partition Wall</t>
  </si>
  <si>
    <t>(1) Layer Of 5/8" Gypsum Wall Board On One Side</t>
  </si>
  <si>
    <t>2X14 Wood Studs @ 16" O.C. W/ 2-Top And 1-Bottom Runner (Wall Lf= 1.9)</t>
  </si>
  <si>
    <t>Wall Type: 8" Exterior Partition Wall</t>
  </si>
  <si>
    <t>(1) Layer Of 5/8" Moisture Resistant Gypsum Wall Board @ Wet Areas</t>
  </si>
  <si>
    <t>2X8 Wood Studs @ 16" O.C. W/ 2-Top And 1-Bottom Runner (Wall Lf= 257.55)</t>
  </si>
  <si>
    <t>R-26 Open Cell Spray Foam Insulation</t>
  </si>
  <si>
    <t>Wall Type: 6" Exterior Partition Wall</t>
  </si>
  <si>
    <t>2X6 Wood Studs @ 16" O.C. W/ 2-Top And 1-Bottom Runner (Wall Lf= 53.32)</t>
  </si>
  <si>
    <t>R-19 Open Cell Spray Foam Insulation</t>
  </si>
  <si>
    <t>Wall Type: 10" Interior Furring Wall</t>
  </si>
  <si>
    <t>2X Furring Strips @ 16" O.C. W/ 2-Top And 1-Bottom Runner (Wall Lf= 3.91)</t>
  </si>
  <si>
    <t>R-13 Open Cell Spray Foam Insulation</t>
  </si>
  <si>
    <t>Wall Type: 14" Interior Partition Wall</t>
  </si>
  <si>
    <t>(1) Layer Of 5/8" Gypsum Wall Board On Both Side</t>
  </si>
  <si>
    <t>2X14 Wood Studs @ 16" O.C. W/ 2-Top And 1-Bottom Runner (Wall Lf= 2.08)</t>
  </si>
  <si>
    <t>Wall Type: 8" Interior Partition Wall</t>
  </si>
  <si>
    <t>2X8 Wood Studs @ 16" O.C. W/ 2-Top And 1-Bottom Runner (Wall Lf= 50.19)</t>
  </si>
  <si>
    <t>Wall Type: 6" Interior Partition Wall</t>
  </si>
  <si>
    <t>2X6 Wood Studs @ 16" O.C. W/ 2-Top And 1-Bottom Runner (Wall Lf= 86.36)</t>
  </si>
  <si>
    <t>Wall Type: 4" Interior Furring Wall</t>
  </si>
  <si>
    <t>2X Furring Strips @ 16" O.C. W/ 2-Top And 1-Bottom Runner (Wall Lf= 21.06)</t>
  </si>
  <si>
    <t>Ceiling</t>
  </si>
  <si>
    <t xml:space="preserve">(1) Layer Of 5/8" Painted Type X Gypsum Board  </t>
  </si>
  <si>
    <t xml:space="preserve">(1) Layer Of 5/8" Painted Gypsum Board &amp; Anti- Sag At Ceilng </t>
  </si>
  <si>
    <t xml:space="preserve">(1) Layer Of 5/8" Moisture Resistant Painted Gypsum Board &amp; Anti- Sag At Ceilng </t>
  </si>
  <si>
    <t xml:space="preserve">Tongue &amp; Groove Soffit Or Ceiling Decking </t>
  </si>
  <si>
    <t>R- 38 Batt Insulation</t>
  </si>
  <si>
    <t>6" Molding</t>
  </si>
  <si>
    <t>Flooring</t>
  </si>
  <si>
    <t>Slate Flooring</t>
  </si>
  <si>
    <t>Wood Flooring</t>
  </si>
  <si>
    <t>4" Thick Std. Gray Exterior Concrete</t>
  </si>
  <si>
    <t>Tile Flooring</t>
  </si>
  <si>
    <t>Floor Transition</t>
  </si>
  <si>
    <t>Transition From Slate Floor To Concrete Floor</t>
  </si>
  <si>
    <t>Transition From Wood Floor To Slate Floor</t>
  </si>
  <si>
    <t>Transition From  Tile Floor To Wood Floor</t>
  </si>
  <si>
    <t>Base And Trims</t>
  </si>
  <si>
    <t>Wood Floor Base</t>
  </si>
  <si>
    <t>Slate Floor Base</t>
  </si>
  <si>
    <t>Tile Floor Base</t>
  </si>
  <si>
    <t>Exterior Wall Finishes</t>
  </si>
  <si>
    <t xml:space="preserve">Hardiboard Siding In Size &amp; Shape To Match Existing Siding </t>
  </si>
  <si>
    <t xml:space="preserve">Existing Brick To Be Painted </t>
  </si>
  <si>
    <t xml:space="preserve">Painted Trellis </t>
  </si>
  <si>
    <t xml:space="preserve">Paint On Wood Posts </t>
  </si>
  <si>
    <t xml:space="preserve">Door Trim </t>
  </si>
  <si>
    <t xml:space="preserve">Window Trim </t>
  </si>
  <si>
    <t xml:space="preserve">Window Sill </t>
  </si>
  <si>
    <t xml:space="preserve">Wood/ Hardiboard Bracket </t>
  </si>
  <si>
    <t>Tiling</t>
  </si>
  <si>
    <t>Paints And Coatings</t>
  </si>
  <si>
    <t>Pt, Interior Wall Paint, Manufacturer: Sherwin Williams</t>
  </si>
  <si>
    <t>Miscellaneous Paint</t>
  </si>
  <si>
    <t xml:space="preserve">Paint On (2) 1'-6 1/2" X 6'-7 1/2" Solid Wood French Door </t>
  </si>
  <si>
    <t xml:space="preserve">Paint On (2) 2'-6" X 6'-7 1/2" Solid Wood French Door </t>
  </si>
  <si>
    <t xml:space="preserve">Paint On 3'-0" X 6'-7 1/2" Solid Wood Stile &amp; Rail Door </t>
  </si>
  <si>
    <t xml:space="preserve">Paint On 3'-0" X 7'-0" Solid Wood Stile &amp; Rail Door </t>
  </si>
  <si>
    <t xml:space="preserve">Paint On 3'-0" X 7'-6 1/4" Solid Wood French Door </t>
  </si>
  <si>
    <t xml:space="preserve">Paint On 7'-11 3/4 " X 6'-9 1/4" Insulated Steel Overhead Door </t>
  </si>
  <si>
    <t xml:space="preserve">Paint On (2) 1'-7" X 6'-8" Solid Wood Door </t>
  </si>
  <si>
    <t xml:space="preserve">Paint On (2) 1'-3" X 6'-8" Solid Wood Door </t>
  </si>
  <si>
    <t xml:space="preserve">Paint On 1'-9" X 6'-8" Solid Wood Door </t>
  </si>
  <si>
    <t xml:space="preserve">Paint On 2'-0" X 6'-8" Solid Wood Door </t>
  </si>
  <si>
    <t xml:space="preserve">Paint On 2'-4" X 6'-8" Solid Wood Door </t>
  </si>
  <si>
    <t xml:space="preserve">Paint On 2'-6" X 6'-8" Solid Wood Door </t>
  </si>
  <si>
    <t xml:space="preserve">Paint On 2'-7 1/2" X 6'-8" Solid Wood Door </t>
  </si>
  <si>
    <t xml:space="preserve">Paint On 2'-8" X 6'-8" Solid Wood Door </t>
  </si>
  <si>
    <t xml:space="preserve">Paint On 2'-9 1/2" X 6'-8" Solid Wood Door </t>
  </si>
  <si>
    <t xml:space="preserve">Paint On 3'-2" X 6'-8" Solid Wood Door </t>
  </si>
  <si>
    <t xml:space="preserve">Paint On 1'-6" X 3'-4" Shutter Door </t>
  </si>
  <si>
    <t xml:space="preserve">Paint On 1'-6" X 4'-0" Shutter Door </t>
  </si>
  <si>
    <t xml:space="preserve">Paint On 1'-6" X 4'-4" Shutter Door </t>
  </si>
  <si>
    <t xml:space="preserve">Paint On 3'-0" X 3'-10" Shutter Door </t>
  </si>
  <si>
    <t>Toilet, Bath And Laundry Accessories</t>
  </si>
  <si>
    <t>1'-6" X 5'-4" X 20" High  Shower Bench With Stone Or Tile Finish</t>
  </si>
  <si>
    <t>DIV.11 EQUIPMENT</t>
  </si>
  <si>
    <t>Equipments</t>
  </si>
  <si>
    <t>30" Refrigerator</t>
  </si>
  <si>
    <t>Under Cabinet Refrigerator</t>
  </si>
  <si>
    <t>Under Cabinet Wine</t>
  </si>
  <si>
    <t>30" Freezer</t>
  </si>
  <si>
    <t>Oven/ Micro W/ Dwr</t>
  </si>
  <si>
    <t>Dish Washer</t>
  </si>
  <si>
    <t>Bread</t>
  </si>
  <si>
    <t>Trash</t>
  </si>
  <si>
    <t>Gas Grill</t>
  </si>
  <si>
    <t>Washing Machine W/ Dryer</t>
  </si>
  <si>
    <t>"Isokern" Zero Clearance Prefabricated Fireplace Or Dm Conc Chimney Unit By " Earthcore"</t>
  </si>
  <si>
    <t>Accessories</t>
  </si>
  <si>
    <t>36" High Painted Wood Guard Rail</t>
  </si>
  <si>
    <t>2" X 6" Square Column Base Or Newel Post</t>
  </si>
  <si>
    <t>Painted Wood Top Rail</t>
  </si>
  <si>
    <t>Painted Wood Bottom Rail Plowed Out &amp; Reinforced With 1- 1/2" X 1- 1/2" Tube Steel Prefinish Tube Steel</t>
  </si>
  <si>
    <t>1- 1/4" Square Pickets W/ 4- 3/4" O.C</t>
  </si>
  <si>
    <t>Countertop &amp; Backsplash</t>
  </si>
  <si>
    <t>Plumbing Piping</t>
  </si>
  <si>
    <t>Sanitary Sewer</t>
  </si>
  <si>
    <t>2" Dia Sanitary Pipes</t>
  </si>
  <si>
    <t>2" Dia Vent Pipes</t>
  </si>
  <si>
    <t>3" Dia Sanitary Pipes</t>
  </si>
  <si>
    <t>Gas</t>
  </si>
  <si>
    <t>1" Dia Gas Pipes</t>
  </si>
  <si>
    <t>1-1/2" Dia Gas Pipes</t>
  </si>
  <si>
    <t>1-1/4" Dia Gas Pipes</t>
  </si>
  <si>
    <t>2" Dia Gas Pipes</t>
  </si>
  <si>
    <t>3/4" Dia Gas Pipes</t>
  </si>
  <si>
    <t>Plumbing Joints</t>
  </si>
  <si>
    <t>2" Dia Elbow Joints</t>
  </si>
  <si>
    <t>2" Dia Elbow Joints, 45*</t>
  </si>
  <si>
    <t>2" Dia Tee Joints</t>
  </si>
  <si>
    <t>2" Dia Wye-Com Cross Joint</t>
  </si>
  <si>
    <t>2" Dia Wye-Com Joints</t>
  </si>
  <si>
    <t>3" Dia Elbow Joints</t>
  </si>
  <si>
    <t>3" Dia Elbow Joints, 45*</t>
  </si>
  <si>
    <t>3" Dia Wye-Com Joints</t>
  </si>
  <si>
    <t>3" X 2" X 2" Dia Tee Joints</t>
  </si>
  <si>
    <t>3" X 2" X 3" Dia Wye-Com Joints</t>
  </si>
  <si>
    <t>3" X 2" X 3" Dia Wye Joints</t>
  </si>
  <si>
    <t>1" Dia Elbow Joints</t>
  </si>
  <si>
    <t>1" Dia Tee Joints</t>
  </si>
  <si>
    <t>1" X 3/4" X 3/4" Dia Tee Joints</t>
  </si>
  <si>
    <t>1/2" Dia Elbow Joints</t>
  </si>
  <si>
    <t>1-1/2" Dia Elbow Joints</t>
  </si>
  <si>
    <t>1-1/2" Dia Tee Joints</t>
  </si>
  <si>
    <t>1-1/2" X 1-1/4" X 1-1/4" Dia Tee Joints</t>
  </si>
  <si>
    <t>1-1/4" Dia Elbow Joints</t>
  </si>
  <si>
    <t>1-1/4" Dia Tee Joints</t>
  </si>
  <si>
    <t>1-1/4" X 1/2" X 1" Dia Tee Joints</t>
  </si>
  <si>
    <t>2" X 1" X 1-1/2" Dia Tee Joints</t>
  </si>
  <si>
    <t>2" X 1" X 2" Dia Tee Joints</t>
  </si>
  <si>
    <t>2" X 1-1/2" X 1" Dia Tee Joints</t>
  </si>
  <si>
    <t>2" X 2" X 1-1/4" Dia Tee Joints</t>
  </si>
  <si>
    <t>2" X 2-1/2" X 2" Dia Tee Joints</t>
  </si>
  <si>
    <t>2-1/2" Dia Elbow Joints</t>
  </si>
  <si>
    <t>3/4" Dia Elbow Joints</t>
  </si>
  <si>
    <t>3/4" Dia Tee Joints</t>
  </si>
  <si>
    <t>Plumbing Valves</t>
  </si>
  <si>
    <t>Air Admittance Valve</t>
  </si>
  <si>
    <t>1-1/2" Dia Shutoff Valve</t>
  </si>
  <si>
    <t>1-1/4" Dia Shutoff Valve</t>
  </si>
  <si>
    <t>1" Dia Shutoff Valve</t>
  </si>
  <si>
    <t>1/2" Dia Shutoff Valve</t>
  </si>
  <si>
    <t>2-1/2" Dia Shutoff Valve</t>
  </si>
  <si>
    <t>3/4" Dia Shutoff Valve</t>
  </si>
  <si>
    <t>Meter &amp; Devices</t>
  </si>
  <si>
    <t>Gas Regulator Per Utility Company, 1298 Total Cfh</t>
  </si>
  <si>
    <t>Plumbing Fixtures</t>
  </si>
  <si>
    <t>2" Dia Vent Through Roof</t>
  </si>
  <si>
    <t>2-Way Surface Cleanout</t>
  </si>
  <si>
    <t>Bath Tub With Shower Head</t>
  </si>
  <si>
    <t>Bbq Area Sink</t>
  </si>
  <si>
    <t>Garbage Disposal</t>
  </si>
  <si>
    <t>Laundry Sink With Faucet</t>
  </si>
  <si>
    <t>Prep. Sink With Faucet</t>
  </si>
  <si>
    <t>Washer Box</t>
  </si>
  <si>
    <t>Water Closet With Flush Valve</t>
  </si>
  <si>
    <t>Wall Cleanout</t>
  </si>
  <si>
    <t>30" X 20" Return Air Grill</t>
  </si>
  <si>
    <t>24" X 14" Return Air Grill</t>
  </si>
  <si>
    <t>8" X 8" Supply Air Grill</t>
  </si>
  <si>
    <t>6" X 6" Supply Air Grill</t>
  </si>
  <si>
    <t>18" X 5" Supply Air Grill</t>
  </si>
  <si>
    <t>16" X 6" Supply Air Grill</t>
  </si>
  <si>
    <t>12" X 6" Supply Air Grill</t>
  </si>
  <si>
    <t>12" X 3" Supply Air Grill</t>
  </si>
  <si>
    <t>10" X 10" Supply Air Grill</t>
  </si>
  <si>
    <t>GRILLS</t>
  </si>
  <si>
    <t>EQUIPMENT</t>
  </si>
  <si>
    <t>8" Dia Volume Damper</t>
  </si>
  <si>
    <t>6" Dia Volume Damper</t>
  </si>
  <si>
    <t>10" Dia Volume Damper</t>
  </si>
  <si>
    <t>DAMPERS</t>
  </si>
  <si>
    <t>Auto Change-Over</t>
  </si>
  <si>
    <t>Float Sensor</t>
  </si>
  <si>
    <t>Thermostat</t>
  </si>
  <si>
    <t>Tag Ef-2, Exhaust Fan, Manufacturer: Panasonic, ,Model No: Fv-05-11 Vk1, 150 Cfm</t>
  </si>
  <si>
    <t>Tag Ef-1, Exhaust Fan, Manufacturer: Panasonic, ,Model No: Fv-05-11 Vk1, 110 Cfm</t>
  </si>
  <si>
    <t>Tag Ahu-3, Air Handling Unit, Manufacturer: Lennox, Model No: Cba38Mv060, 1800 Cfm</t>
  </si>
  <si>
    <t>Tag Ahu-2, Air Handling Unit, Manufacturer: Lennox, Model No: Cba38Mv024, 800 Cfm</t>
  </si>
  <si>
    <t>Tag Ahu-1, Air Handling Unit, Manufacturer: Lennox, Model No: Cba38Mv048, 1600 Cfm</t>
  </si>
  <si>
    <t>AIR HANDLING UNITS</t>
  </si>
  <si>
    <t>Tag Cu-3, Condensing Unit, Manufacturer: Lennox, Model No: Sl25Xpv-60</t>
  </si>
  <si>
    <t>Tag Cu-2, Condensing Unit, Manufacturer: Lennox, Model No: Sl25Xpv-24</t>
  </si>
  <si>
    <t>Tag Cu-1, Condensing Unit, Manufacturer: Lennox, Model No: Sl25Xpv-48</t>
  </si>
  <si>
    <t>CONDENSING UNITS</t>
  </si>
  <si>
    <t>HVAC UNITS</t>
  </si>
  <si>
    <t>8" Dia Supply Air Side Transition</t>
  </si>
  <si>
    <t>6" Dia Supply Air Side Transition</t>
  </si>
  <si>
    <t>16" X 6" Supply Air Side Transition</t>
  </si>
  <si>
    <t>12" X 6" Supply Air Side Transition</t>
  </si>
  <si>
    <t>12" Dia Supply Air Side Transition</t>
  </si>
  <si>
    <t>10" Dia Supply Air Side Transition</t>
  </si>
  <si>
    <t>SIDE TRANSITIONS</t>
  </si>
  <si>
    <t>24/8" X 12/8" Reducer</t>
  </si>
  <si>
    <t>18" X 14" Supply Air Reducer</t>
  </si>
  <si>
    <t>14" X 6" Supply Air Reducer</t>
  </si>
  <si>
    <t>14" X 12" Dia Reducer</t>
  </si>
  <si>
    <t>12" X 6" Supply Air Reducer</t>
  </si>
  <si>
    <t>12" X 10" Dia Reducer</t>
  </si>
  <si>
    <t>REDUCERS</t>
  </si>
  <si>
    <t>8" Elbow 45 Joint Supply Air</t>
  </si>
  <si>
    <t>24/8" Elbow Joint Supply Air</t>
  </si>
  <si>
    <t>18" Elbow Joint Return Air</t>
  </si>
  <si>
    <t>14" Elbow Joint Supply Air</t>
  </si>
  <si>
    <t>14" Elbow Joint Return Air</t>
  </si>
  <si>
    <t>12" Elbow Joint Supply Air</t>
  </si>
  <si>
    <t>12" Elbow 45 Joint Supply Air</t>
  </si>
  <si>
    <t>10" Elbow Joint Supply Air</t>
  </si>
  <si>
    <t>ELBOWS</t>
  </si>
  <si>
    <t>DUCTWORK TRANSITIONS</t>
  </si>
  <si>
    <t>8" Dia Supply Air</t>
  </si>
  <si>
    <t>6" Dia Supply Air</t>
  </si>
  <si>
    <t>10" Dia Supply Air</t>
  </si>
  <si>
    <t>FLEXIBLE DUCTWORK</t>
  </si>
  <si>
    <t>24/8" Dia Supply Air</t>
  </si>
  <si>
    <t>12/8" Dia Supply Air</t>
  </si>
  <si>
    <t>RECTANGULAR DUCTWORK</t>
  </si>
  <si>
    <t>18" Dia Supply Air</t>
  </si>
  <si>
    <t>14" Dia Supply Air</t>
  </si>
  <si>
    <t>12" Dia Supply Air</t>
  </si>
  <si>
    <t>18" Dia Return Air</t>
  </si>
  <si>
    <t>14" Dia Return Air</t>
  </si>
  <si>
    <t>ROUND DUCTWORK</t>
  </si>
  <si>
    <t>HVAC DUCTWORK</t>
  </si>
  <si>
    <t>DIV.23 MECHANICAL</t>
  </si>
  <si>
    <t>20A, 1P Circuit Breaker</t>
  </si>
  <si>
    <t>15A, 1P Circuit Breaker</t>
  </si>
  <si>
    <t>Panel B-1: 120/240V, 1Ph, 3Wire, 30A, 10K Aic, Nema 3R</t>
  </si>
  <si>
    <t>50A, 2P Circuit Breaker</t>
  </si>
  <si>
    <t>40A, 2P Circuit Breaker</t>
  </si>
  <si>
    <t>30A, 2P Circuit Breaker</t>
  </si>
  <si>
    <t>25A, 2P Circuit Breaker</t>
  </si>
  <si>
    <t>20A, 2P Circuit Breaker</t>
  </si>
  <si>
    <t>15A, 2P Circuit Breaker</t>
  </si>
  <si>
    <t>Panel B: 120/240V, 1Ph, 3Wire, 200A, 10K Aic, Nema 1</t>
  </si>
  <si>
    <t>Panel A-1: 120/240V, 1Ph, 3Wire, 100A, 22/10K Aic, Nema 1</t>
  </si>
  <si>
    <t>Panels &amp; Breakers</t>
  </si>
  <si>
    <t>Disconnect Switch, 50A, 2P</t>
  </si>
  <si>
    <t>Disconnect Switch, 40A, 2P</t>
  </si>
  <si>
    <t>Disconnect Switch, 25A, 2P</t>
  </si>
  <si>
    <t>Disconnect Switches</t>
  </si>
  <si>
    <t>Lighting Controls</t>
  </si>
  <si>
    <t>2' Linear Under Cabinet Light Fixture</t>
  </si>
  <si>
    <t>Pendant Light Fixture, Weatherproof</t>
  </si>
  <si>
    <t>Track Light Heads</t>
  </si>
  <si>
    <t>Mini Can Light Fixture, Weatherproof</t>
  </si>
  <si>
    <t>Mini Can Light Fixture</t>
  </si>
  <si>
    <t>Lighting Fixture</t>
  </si>
  <si>
    <t>Switched Garbage Disposal Outlet, Ground Fault Circuit Interrupter</t>
  </si>
  <si>
    <t>Duplex Receptacles, Surface Mounted</t>
  </si>
  <si>
    <t>Receptacles And Switches</t>
  </si>
  <si>
    <t>1#8 Cu Grounding</t>
  </si>
  <si>
    <t>1#4 Cu Grounding</t>
  </si>
  <si>
    <t>Grounding</t>
  </si>
  <si>
    <t>3#3/0, 1#6 Gnd Cu Wire From Panel B To Panel A, Assumed</t>
  </si>
  <si>
    <t>3#10, 1#12 Isulated Gnd Cu Wire From Panel B-1 To Panel B</t>
  </si>
  <si>
    <t>3#1, 1#8 Gnd Cu Wire From Panel A-1 To Panel A, Assumed</t>
  </si>
  <si>
    <t>Feeders</t>
  </si>
  <si>
    <t>2#8, 1#10 Gnd Cu Wire Service For Cu-1</t>
  </si>
  <si>
    <t>2#6, 1#10 Gnd Cu Wire Service For Cu-3</t>
  </si>
  <si>
    <t>2#10, 1#10 Gnd Cu Wire Service For Cu-2</t>
  </si>
  <si>
    <t>Service</t>
  </si>
  <si>
    <t>Conductors</t>
  </si>
  <si>
    <t>2-1/2" Pvc Conduits</t>
  </si>
  <si>
    <t>2" Pvc Conduits</t>
  </si>
  <si>
    <t>1" Pvc Conduits</t>
  </si>
  <si>
    <t>#10 X 1 P/H Self-Tap Screw</t>
  </si>
  <si>
    <t>#8 To #10 X 7/8 Plas Anchor (3/16)</t>
  </si>
  <si>
    <t>4" Sq Blank Cover</t>
  </si>
  <si>
    <t>4X1 3/4" Sq Box Comb Ko</t>
  </si>
  <si>
    <t>3/4" 1-H Strap - Emt - Steel</t>
  </si>
  <si>
    <t>3/4" Coupling Ss Stl - Emt</t>
  </si>
  <si>
    <t>3/4" Conn Ss Stl - Emt</t>
  </si>
  <si>
    <t>4X1 1/2" Sq Box Comb Ko</t>
  </si>
  <si>
    <t>1/2" 1-H Strap - Emt - Steel</t>
  </si>
  <si>
    <t>1/2" Coupling Ss Stl - Emt</t>
  </si>
  <si>
    <t>1/2" Conn Ss Stl - Emt</t>
  </si>
  <si>
    <t>Conduits</t>
  </si>
  <si>
    <t>DIV.27 COMMUNICATIONS</t>
  </si>
  <si>
    <t>Data &amp; Phone Outlet</t>
  </si>
  <si>
    <t>Data Communications</t>
  </si>
  <si>
    <t>Cat5E, Cat6E Coaxial Cable Service For Combo Outlet</t>
  </si>
  <si>
    <t>Rj6 Coaxial Cable For Tv Outlet</t>
  </si>
  <si>
    <t>Structured Cabling</t>
  </si>
  <si>
    <t>DIV.28 ELECTRONIC SAFETY &amp; SECURITY</t>
  </si>
  <si>
    <t>Smoke Detector</t>
  </si>
  <si>
    <t>Electronic Detection And Alarm</t>
  </si>
  <si>
    <t>DIV.32 EXTERIOR IMPROVEMENTS</t>
  </si>
  <si>
    <t>Excavation For Footing</t>
  </si>
  <si>
    <t>Concrete Footing With Reinforced</t>
  </si>
  <si>
    <t>Brick Veneer</t>
  </si>
  <si>
    <t>Cmu Wall</t>
  </si>
  <si>
    <t>8" Continuous Bond Beam</t>
  </si>
  <si>
    <t>Row Lock Brick Cap</t>
  </si>
  <si>
    <t>Retainig Wall</t>
  </si>
  <si>
    <t>Drain</t>
  </si>
  <si>
    <t>Tag: 5.2, Poll Protection Gate With Self Closing Hinges: 5'-0" High With Minimum 4" Spacing Between Vertical Balusters</t>
  </si>
  <si>
    <t xml:space="preserve">Tag: 15.5,High Efficiency Nat. Gas Tankless Water Heater Per Sheet P1,1 With Ext. Relief Drain To 6" Above Planter </t>
  </si>
  <si>
    <t>Tag: 10.4, Gas Grill- (Final Selection By Owner)</t>
  </si>
  <si>
    <t>Schedule 40 Drain Pipe Routed To Daylight Or Pump As Accurs</t>
  </si>
  <si>
    <t>Tag: 4.7, Low Retaining Wall Per Landscape (Detail Are Not Given)</t>
  </si>
  <si>
    <t>Tag: 4.1, 6'-0" High 8" Reinforced Cmu Site Wall Per Structural Drawings (Detail Are Not Given)</t>
  </si>
  <si>
    <t>Tag: 2.7, Pea Gravel Per Landscape</t>
  </si>
  <si>
    <t>Tag: 2.4, Stone Pavers Over 1" Thick Sand Base Per Owners With Tight Fitting Joints Between Individual Units</t>
  </si>
  <si>
    <t>Tag: 2.1, Plater Or Landscape Area</t>
  </si>
  <si>
    <t>Tag: 2.6, Trench Or Area Drain Per Landscape Drawing</t>
  </si>
  <si>
    <t>Site Works</t>
  </si>
  <si>
    <t>INSURANCE PERCENTAGES NEEDS TO BE ADDED.</t>
  </si>
  <si>
    <t>A Remodel For The Mc Bride Residence</t>
  </si>
  <si>
    <t xml:space="preserve">Remove &amp; Reuse Existing Fence </t>
  </si>
  <si>
    <t xml:space="preserve">Remove Entire Detached Art Studio </t>
  </si>
  <si>
    <t xml:space="preserve">Remove All Fixtures, Fittings And Cabinetry </t>
  </si>
  <si>
    <t xml:space="preserve">Remove Existing Hardscape Pavers &amp; Driveway Pavers </t>
  </si>
  <si>
    <t xml:space="preserve">Demo &amp; Remove Entire Breezway </t>
  </si>
  <si>
    <t xml:space="preserve">Demo &amp; Remove Entire Covered Patio &amp; Exterior Stairs </t>
  </si>
  <si>
    <t xml:space="preserve">Remove Masonary Site Wall As Shown. Salvage Brick As Best As Possible For Reuse </t>
  </si>
  <si>
    <t xml:space="preserve">Remove Iron Fence &amp; Reuse In New Location </t>
  </si>
  <si>
    <t xml:space="preserve">Remove Wall </t>
  </si>
  <si>
    <t xml:space="preserve">Remove Portion Of Exterior Wall For New Opening </t>
  </si>
  <si>
    <t xml:space="preserve">Doos To Be Removed </t>
  </si>
  <si>
    <t xml:space="preserve">Windows To Be Removed </t>
  </si>
  <si>
    <t xml:space="preserve">1'-0" Deep Base Cabinatry </t>
  </si>
  <si>
    <t xml:space="preserve">1'-0" Deep Wall Cabinatry </t>
  </si>
  <si>
    <t xml:space="preserve">2'-0" Deep Base Cabinatry </t>
  </si>
  <si>
    <t xml:space="preserve">1'-0" Deep Garden Storage Cabinatry </t>
  </si>
  <si>
    <t xml:space="preserve">2'-0" Deep Garden Storage Cabinatry </t>
  </si>
  <si>
    <t xml:space="preserve">2'-0" Deep Closet Cabinatry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</si>
</sst>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_);_(@_)"/>
    <numFmt numFmtId="170" formatCode="_(&quot;$&quot;* #,##0.0_);_(&quot;$&quot;* \(#,##0.0\);_(&quot;$&quot;* &quot;-&quot;??_);_(@_)"/>
    <numFmt numFmtId="171" formatCode="_-[$$-409]* #,##0.00_ ;_-[$$-409]* \-#,##0.00\ ;_-[$$-409]* &quot;-&quot;??_ ;_-@_ "/>
    <numFmt numFmtId="172" formatCode="0.0"/>
    <numFmt numFmtId="173" formatCode="0.0%"/>
    <numFmt numFmtId="174" formatCode="_(&quot;$&quot;* #,##0_);_(&quot;$&quot;* \(#,##0\);_(&quot;$&quot;* &quot;-&quot;??_);_(@_)"/>
  </numFmts>
  <fonts count="6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63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6"/>
      <color theme="1"/>
      <name val="Adobe Gothic Std B"/>
      <family val="2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9" fillId="0" borderId="0"/>
    <xf numFmtId="0" fontId="11" fillId="0" borderId="0"/>
    <xf numFmtId="167" fontId="29" fillId="0" borderId="0" applyFont="0" applyFill="0" applyBorder="0" applyAlignment="0" applyProtection="0"/>
    <xf numFmtId="0" fontId="30" fillId="0" borderId="0"/>
    <xf numFmtId="167" fontId="1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5" applyNumberFormat="0" applyAlignment="0" applyProtection="0"/>
    <xf numFmtId="0" fontId="48" fillId="30" borderId="16" applyNumberFormat="0" applyAlignment="0" applyProtection="0"/>
    <xf numFmtId="0" fontId="49" fillId="30" borderId="15" applyNumberFormat="0" applyAlignment="0" applyProtection="0"/>
    <xf numFmtId="0" fontId="50" fillId="0" borderId="17" applyNumberFormat="0" applyFill="0" applyAlignment="0" applyProtection="0"/>
    <xf numFmtId="0" fontId="51" fillId="31" borderId="18" applyNumberFormat="0" applyAlignment="0" applyProtection="0"/>
    <xf numFmtId="0" fontId="52" fillId="0" borderId="0" applyNumberFormat="0" applyFill="0" applyBorder="0" applyAlignment="0" applyProtection="0"/>
    <xf numFmtId="0" fontId="7" fillId="32" borderId="1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55" fillId="56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59" fillId="0" borderId="0" applyFont="0" applyFill="0" applyBorder="0" applyAlignment="0" applyProtection="0"/>
  </cellStyleXfs>
  <cellXfs count="131">
    <xf numFmtId="0" fontId="0" fillId="0" borderId="0" xfId="0"/>
    <xf numFmtId="0" fontId="31" fillId="0" borderId="0" xfId="0" applyFont="1" applyAlignment="1">
      <alignment vertical="top"/>
    </xf>
    <xf numFmtId="165" fontId="31" fillId="0" borderId="0" xfId="45" applyNumberFormat="1" applyFont="1" applyAlignment="1">
      <alignment vertical="center"/>
    </xf>
    <xf numFmtId="0" fontId="31" fillId="0" borderId="0" xfId="45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 wrapText="1"/>
    </xf>
    <xf numFmtId="2" fontId="31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vertical="center"/>
    </xf>
    <xf numFmtId="9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36" fillId="0" borderId="0" xfId="45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170" fontId="31" fillId="0" borderId="0" xfId="0" applyNumberFormat="1" applyFont="1" applyAlignment="1">
      <alignment vertical="center" wrapText="1"/>
    </xf>
    <xf numFmtId="171" fontId="31" fillId="0" borderId="0" xfId="45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" fontId="56" fillId="0" borderId="0" xfId="100" applyNumberFormat="1" applyFont="1" applyAlignment="1">
      <alignment horizontal="right" vertical="center"/>
    </xf>
    <xf numFmtId="0" fontId="56" fillId="0" borderId="0" xfId="102" applyFont="1" applyAlignment="1">
      <alignment horizontal="center" vertical="center"/>
    </xf>
    <xf numFmtId="0" fontId="56" fillId="0" borderId="0" xfId="97" applyFont="1" applyAlignment="1">
      <alignment horizontal="center" vertical="center"/>
    </xf>
    <xf numFmtId="1" fontId="56" fillId="0" borderId="0" xfId="98" applyNumberFormat="1" applyFont="1" applyAlignment="1">
      <alignment horizontal="right" vertical="center"/>
    </xf>
    <xf numFmtId="0" fontId="56" fillId="0" borderId="0" xfId="102" applyFont="1" applyAlignment="1">
      <alignment wrapText="1"/>
    </xf>
    <xf numFmtId="0" fontId="39" fillId="0" borderId="22" xfId="41" applyFont="1" applyFill="1" applyBorder="1" applyAlignment="1">
      <alignment vertical="top" wrapText="1"/>
    </xf>
    <xf numFmtId="169" fontId="32" fillId="25" borderId="23" xfId="38" applyNumberFormat="1" applyFont="1" applyFill="1" applyBorder="1" applyAlignment="1" applyProtection="1">
      <alignment horizontal="left" vertical="center"/>
    </xf>
    <xf numFmtId="0" fontId="31" fillId="0" borderId="21" xfId="45" applyFont="1" applyBorder="1" applyAlignment="1">
      <alignment vertical="center"/>
    </xf>
    <xf numFmtId="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0" fontId="31" fillId="0" borderId="21" xfId="45" applyFont="1" applyBorder="1" applyAlignment="1">
      <alignment horizontal="center" vertical="center"/>
    </xf>
    <xf numFmtId="0" fontId="39" fillId="0" borderId="24" xfId="41" applyFont="1" applyFill="1" applyBorder="1" applyAlignment="1">
      <alignment horizontal="center" vertical="center"/>
    </xf>
    <xf numFmtId="1" fontId="56" fillId="0" borderId="0" xfId="100" applyNumberFormat="1" applyFont="1" applyAlignment="1">
      <alignment horizontal="right" vertical="center" wrapText="1"/>
    </xf>
    <xf numFmtId="9" fontId="31" fillId="0" borderId="0" xfId="0" applyNumberFormat="1" applyFont="1" applyAlignment="1">
      <alignment vertical="center" wrapText="1"/>
    </xf>
    <xf numFmtId="165" fontId="31" fillId="0" borderId="0" xfId="0" applyNumberFormat="1" applyFont="1" applyAlignment="1">
      <alignment horizontal="center" vertical="center" wrapText="1"/>
    </xf>
    <xf numFmtId="0" fontId="56" fillId="0" borderId="0" xfId="102" applyFont="1" applyAlignment="1">
      <alignment horizontal="center" vertical="center" wrapText="1"/>
    </xf>
    <xf numFmtId="165" fontId="31" fillId="0" borderId="0" xfId="45" applyNumberFormat="1" applyFont="1" applyAlignment="1">
      <alignment vertical="center" wrapText="1"/>
    </xf>
    <xf numFmtId="0" fontId="31" fillId="0" borderId="0" xfId="45" applyFont="1" applyAlignment="1">
      <alignment vertical="center" wrapText="1"/>
    </xf>
    <xf numFmtId="0" fontId="36" fillId="0" borderId="0" xfId="45" applyFont="1" applyAlignment="1">
      <alignment vertical="center" wrapText="1"/>
    </xf>
    <xf numFmtId="1" fontId="39" fillId="0" borderId="28" xfId="41" applyNumberFormat="1" applyFont="1" applyFill="1" applyBorder="1" applyAlignment="1" applyProtection="1">
      <alignment horizontal="center" vertical="center"/>
    </xf>
    <xf numFmtId="168" fontId="39" fillId="0" borderId="28" xfId="41" applyNumberFormat="1" applyFont="1" applyFill="1" applyBorder="1" applyAlignment="1" applyProtection="1">
      <alignment horizontal="center" vertical="center"/>
    </xf>
    <xf numFmtId="0" fontId="39" fillId="0" borderId="28" xfId="41" applyFont="1" applyFill="1" applyBorder="1" applyAlignment="1">
      <alignment horizontal="center" vertical="center"/>
    </xf>
    <xf numFmtId="170" fontId="39" fillId="0" borderId="28" xfId="41" applyNumberFormat="1" applyFont="1" applyFill="1" applyBorder="1" applyAlignment="1">
      <alignment vertical="center"/>
    </xf>
    <xf numFmtId="173" fontId="39" fillId="0" borderId="28" xfId="103" applyNumberFormat="1" applyFont="1" applyFill="1" applyBorder="1" applyAlignment="1">
      <alignment horizontal="center" vertical="center"/>
    </xf>
    <xf numFmtId="174" fontId="39" fillId="0" borderId="28" xfId="41" applyNumberFormat="1" applyFont="1" applyFill="1" applyBorder="1" applyAlignment="1">
      <alignment horizontal="left" vertical="center"/>
    </xf>
    <xf numFmtId="9" fontId="39" fillId="0" borderId="28" xfId="103" applyFont="1" applyFill="1" applyBorder="1" applyAlignment="1">
      <alignment horizontal="center" vertical="center"/>
    </xf>
    <xf numFmtId="1" fontId="39" fillId="0" borderId="30" xfId="41" applyNumberFormat="1" applyFont="1" applyFill="1" applyBorder="1" applyAlignment="1" applyProtection="1">
      <alignment horizontal="center" vertical="center"/>
    </xf>
    <xf numFmtId="168" fontId="39" fillId="0" borderId="30" xfId="41" applyNumberFormat="1" applyFont="1" applyFill="1" applyBorder="1" applyAlignment="1" applyProtection="1">
      <alignment horizontal="center" vertical="center"/>
    </xf>
    <xf numFmtId="0" fontId="39" fillId="0" borderId="30" xfId="41" applyFont="1" applyFill="1" applyBorder="1" applyAlignment="1">
      <alignment horizontal="center" vertical="center"/>
    </xf>
    <xf numFmtId="170" fontId="39" fillId="0" borderId="30" xfId="41" applyNumberFormat="1" applyFont="1" applyFill="1" applyBorder="1" applyAlignment="1">
      <alignment vertical="center"/>
    </xf>
    <xf numFmtId="169" fontId="39" fillId="0" borderId="30" xfId="41" applyNumberFormat="1" applyFont="1" applyFill="1" applyBorder="1" applyAlignment="1">
      <alignment horizontal="left" vertical="center"/>
    </xf>
    <xf numFmtId="170" fontId="31" fillId="0" borderId="31" xfId="0" applyNumberFormat="1" applyFont="1" applyBorder="1" applyAlignment="1">
      <alignment vertical="center"/>
    </xf>
    <xf numFmtId="164" fontId="39" fillId="0" borderId="28" xfId="41" applyNumberFormat="1" applyFont="1" applyFill="1" applyBorder="1" applyAlignment="1">
      <alignment vertical="center"/>
    </xf>
    <xf numFmtId="164" fontId="39" fillId="0" borderId="33" xfId="41" applyNumberFormat="1" applyFont="1" applyFill="1" applyBorder="1" applyAlignment="1">
      <alignment vertical="center"/>
    </xf>
    <xf numFmtId="174" fontId="39" fillId="0" borderId="33" xfId="41" applyNumberFormat="1" applyFont="1" applyFill="1" applyBorder="1" applyAlignment="1">
      <alignment vertical="center"/>
    </xf>
    <xf numFmtId="164" fontId="39" fillId="0" borderId="32" xfId="41" applyNumberFormat="1" applyFont="1" applyFill="1" applyBorder="1" applyAlignment="1">
      <alignment vertical="center"/>
    </xf>
    <xf numFmtId="0" fontId="39" fillId="0" borderId="35" xfId="41" applyFont="1" applyFill="1" applyBorder="1" applyAlignment="1">
      <alignment vertical="top" wrapText="1"/>
    </xf>
    <xf numFmtId="0" fontId="39" fillId="0" borderId="33" xfId="41" applyFont="1" applyFill="1" applyBorder="1" applyAlignment="1">
      <alignment vertical="top" wrapText="1"/>
    </xf>
    <xf numFmtId="0" fontId="39" fillId="0" borderId="32" xfId="41" applyFont="1" applyFill="1" applyBorder="1" applyAlignment="1">
      <alignment vertical="top" wrapText="1"/>
    </xf>
    <xf numFmtId="0" fontId="32" fillId="0" borderId="34" xfId="45" applyFont="1" applyBorder="1" applyAlignment="1">
      <alignment vertical="center"/>
    </xf>
    <xf numFmtId="0" fontId="32" fillId="0" borderId="0" xfId="0" applyFont="1" applyAlignment="1">
      <alignment horizontal="justify" vertical="center" wrapText="1"/>
    </xf>
    <xf numFmtId="0" fontId="56" fillId="0" borderId="0" xfId="98" applyFont="1" applyAlignment="1">
      <alignment wrapText="1"/>
    </xf>
    <xf numFmtId="0" fontId="39" fillId="0" borderId="28" xfId="41" applyFont="1" applyFill="1" applyBorder="1" applyAlignment="1">
      <alignment vertical="top" wrapText="1"/>
    </xf>
    <xf numFmtId="0" fontId="39" fillId="0" borderId="30" xfId="41" applyFont="1" applyFill="1" applyBorder="1" applyAlignment="1">
      <alignment vertical="top" wrapText="1"/>
    </xf>
    <xf numFmtId="2" fontId="31" fillId="0" borderId="0" xfId="0" applyNumberFormat="1" applyFont="1" applyAlignment="1">
      <alignment vertical="top" wrapText="1"/>
    </xf>
    <xf numFmtId="0" fontId="32" fillId="0" borderId="0" xfId="45" applyFont="1" applyAlignment="1">
      <alignment vertical="center"/>
    </xf>
    <xf numFmtId="0" fontId="32" fillId="0" borderId="0" xfId="45" applyFont="1" applyAlignment="1">
      <alignment horizontal="center" vertical="center" wrapText="1"/>
    </xf>
    <xf numFmtId="0" fontId="32" fillId="0" borderId="0" xfId="45" applyFont="1" applyAlignment="1">
      <alignment horizontal="center" vertical="center"/>
    </xf>
    <xf numFmtId="1" fontId="35" fillId="24" borderId="10" xfId="34" applyNumberFormat="1" applyFont="1" applyFill="1" applyBorder="1" applyAlignment="1" applyProtection="1">
      <alignment horizontal="center" vertical="center" wrapText="1"/>
    </xf>
    <xf numFmtId="2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34" applyFont="1" applyFill="1" applyBorder="1" applyAlignment="1" applyProtection="1">
      <alignment horizontal="center" vertical="center" wrapText="1"/>
    </xf>
    <xf numFmtId="170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102" applyFont="1" applyFill="1" applyBorder="1" applyAlignment="1">
      <alignment wrapText="1"/>
    </xf>
    <xf numFmtId="0" fontId="57" fillId="0" borderId="26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32" fillId="0" borderId="31" xfId="45" applyFont="1" applyBorder="1" applyAlignment="1">
      <alignment horizontal="center" vertical="center" wrapText="1"/>
    </xf>
    <xf numFmtId="0" fontId="32" fillId="0" borderId="31" xfId="45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70" fontId="32" fillId="0" borderId="25" xfId="0" applyNumberFormat="1" applyFont="1" applyBorder="1" applyAlignment="1">
      <alignment vertical="center"/>
    </xf>
    <xf numFmtId="171" fontId="32" fillId="0" borderId="25" xfId="45" applyNumberFormat="1" applyFont="1" applyBorder="1" applyAlignment="1">
      <alignment vertical="center"/>
    </xf>
    <xf numFmtId="172" fontId="32" fillId="0" borderId="27" xfId="45" applyNumberFormat="1" applyFont="1" applyBorder="1" applyAlignment="1">
      <alignment horizontal="center" vertical="center"/>
    </xf>
    <xf numFmtId="0" fontId="31" fillId="0" borderId="37" xfId="0" applyFont="1" applyBorder="1" applyAlignment="1">
      <alignment vertical="top"/>
    </xf>
    <xf numFmtId="0" fontId="31" fillId="0" borderId="38" xfId="0" applyFont="1" applyBorder="1" applyAlignment="1">
      <alignment vertical="top"/>
    </xf>
    <xf numFmtId="2" fontId="31" fillId="0" borderId="38" xfId="0" applyNumberFormat="1" applyFont="1" applyBorder="1" applyAlignment="1">
      <alignment vertical="top" wrapText="1"/>
    </xf>
    <xf numFmtId="1" fontId="31" fillId="0" borderId="38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170" fontId="31" fillId="0" borderId="38" xfId="0" applyNumberFormat="1" applyFont="1" applyBorder="1" applyAlignment="1">
      <alignment vertical="center" wrapText="1"/>
    </xf>
    <xf numFmtId="2" fontId="31" fillId="0" borderId="38" xfId="0" applyNumberFormat="1" applyFont="1" applyBorder="1" applyAlignment="1">
      <alignment vertical="center" wrapText="1"/>
    </xf>
    <xf numFmtId="168" fontId="31" fillId="0" borderId="39" xfId="0" applyNumberFormat="1" applyFont="1" applyBorder="1" applyAlignment="1">
      <alignment vertical="center"/>
    </xf>
    <xf numFmtId="0" fontId="35" fillId="0" borderId="40" xfId="102" applyFont="1" applyBorder="1" applyAlignment="1">
      <alignment wrapText="1"/>
    </xf>
    <xf numFmtId="0" fontId="56" fillId="0" borderId="0" xfId="102" applyFont="1" applyAlignment="1">
      <alignment horizontal="right" wrapText="1"/>
    </xf>
    <xf numFmtId="0" fontId="35" fillId="0" borderId="0" xfId="102" applyFont="1" applyAlignment="1">
      <alignment wrapText="1"/>
    </xf>
    <xf numFmtId="171" fontId="31" fillId="57" borderId="0" xfId="45" applyNumberFormat="1" applyFont="1" applyFill="1" applyAlignment="1">
      <alignment vertical="center"/>
    </xf>
    <xf numFmtId="0" fontId="60" fillId="20" borderId="25" xfId="39" applyFont="1" applyBorder="1" applyAlignment="1">
      <alignment vertical="top"/>
    </xf>
    <xf numFmtId="0" fontId="60" fillId="20" borderId="26" xfId="39" applyFont="1" applyBorder="1" applyAlignment="1">
      <alignment vertical="top"/>
    </xf>
    <xf numFmtId="0" fontId="60" fillId="20" borderId="11" xfId="39" applyFont="1" applyBorder="1" applyAlignment="1">
      <alignment vertical="top" wrapText="1"/>
    </xf>
    <xf numFmtId="1" fontId="60" fillId="20" borderId="26" xfId="39" applyNumberFormat="1" applyFont="1" applyBorder="1" applyAlignment="1">
      <alignment vertical="center"/>
    </xf>
    <xf numFmtId="0" fontId="60" fillId="20" borderId="26" xfId="39" applyFont="1" applyBorder="1" applyAlignment="1">
      <alignment vertical="center"/>
    </xf>
    <xf numFmtId="0" fontId="60" fillId="20" borderId="26" xfId="39" applyFont="1" applyBorder="1" applyAlignment="1">
      <alignment horizontal="center" vertical="center"/>
    </xf>
    <xf numFmtId="170" fontId="60" fillId="20" borderId="26" xfId="39" applyNumberFormat="1" applyFont="1" applyBorder="1" applyAlignment="1">
      <alignment vertical="center"/>
    </xf>
    <xf numFmtId="164" fontId="60" fillId="20" borderId="10" xfId="39" applyNumberFormat="1" applyFont="1" applyBorder="1" applyAlignment="1">
      <alignment vertical="center"/>
    </xf>
    <xf numFmtId="165" fontId="61" fillId="0" borderId="0" xfId="45" applyNumberFormat="1" applyFont="1" applyAlignment="1">
      <alignment vertical="center"/>
    </xf>
    <xf numFmtId="0" fontId="61" fillId="0" borderId="0" xfId="45" applyFont="1" applyAlignment="1">
      <alignment vertical="center"/>
    </xf>
    <xf numFmtId="0" fontId="62" fillId="0" borderId="0" xfId="45" applyFont="1" applyAlignment="1">
      <alignment vertical="center"/>
    </xf>
    <xf numFmtId="1" fontId="35" fillId="0" borderId="0" xfId="100" applyNumberFormat="1" applyFont="1" applyAlignment="1">
      <alignment horizontal="right" vertical="center" wrapText="1"/>
    </xf>
    <xf numFmtId="9" fontId="32" fillId="0" borderId="0" xfId="0" applyNumberFormat="1" applyFont="1" applyAlignment="1">
      <alignment vertical="center" wrapText="1"/>
    </xf>
    <xf numFmtId="165" fontId="32" fillId="0" borderId="0" xfId="0" applyNumberFormat="1" applyFont="1" applyAlignment="1">
      <alignment horizontal="center" vertical="center" wrapText="1"/>
    </xf>
    <xf numFmtId="0" fontId="35" fillId="0" borderId="0" xfId="102" applyFont="1" applyAlignment="1">
      <alignment horizontal="center" vertical="center" wrapText="1"/>
    </xf>
    <xf numFmtId="0" fontId="35" fillId="24" borderId="34" xfId="102" applyFont="1" applyFill="1" applyBorder="1" applyAlignment="1">
      <alignment wrapText="1"/>
    </xf>
    <xf numFmtId="0" fontId="35" fillId="24" borderId="40" xfId="102" applyFont="1" applyFill="1" applyBorder="1" applyAlignment="1">
      <alignment wrapText="1"/>
    </xf>
    <xf numFmtId="0" fontId="11" fillId="25" borderId="41" xfId="0" applyFont="1" applyFill="1" applyBorder="1" applyAlignment="1">
      <alignment horizontal="left" vertical="center"/>
    </xf>
    <xf numFmtId="0" fontId="11" fillId="25" borderId="26" xfId="0" applyFont="1" applyFill="1" applyBorder="1" applyAlignment="1">
      <alignment horizontal="left" vertical="center"/>
    </xf>
    <xf numFmtId="0" fontId="11" fillId="25" borderId="27" xfId="0" applyFont="1" applyFill="1" applyBorder="1" applyAlignment="1">
      <alignment horizontal="left" vertical="center"/>
    </xf>
    <xf numFmtId="0" fontId="63" fillId="24" borderId="41" xfId="0" applyFont="1" applyFill="1" applyBorder="1" applyAlignment="1">
      <alignment horizontal="left" vertical="center"/>
    </xf>
    <xf numFmtId="0" fontId="63" fillId="24" borderId="26" xfId="0" applyFont="1" applyFill="1" applyBorder="1" applyAlignment="1">
      <alignment horizontal="left" vertical="center"/>
    </xf>
    <xf numFmtId="0" fontId="63" fillId="24" borderId="27" xfId="0" applyFont="1" applyFill="1" applyBorder="1" applyAlignment="1">
      <alignment horizontal="left" vertical="center"/>
    </xf>
    <xf numFmtId="16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/>
    </xf>
  </cellXfs>
  <cellStyles count="104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99" xr:uid="{00000000-0005-0000-0000-00004C000000}"/>
    <cellStyle name="Normal 11" xfId="100" xr:uid="{00000000-0005-0000-0000-00004D000000}"/>
    <cellStyle name="Normal 12" xfId="101" xr:uid="{00000000-0005-0000-0000-00004E000000}"/>
    <cellStyle name="Normal 13" xfId="102" xr:uid="{00000000-0005-0000-0000-00004F000000}"/>
    <cellStyle name="Normal 2" xfId="44" xr:uid="{00000000-0005-0000-0000-000050000000}"/>
    <cellStyle name="Normal 2 2" xfId="47" xr:uid="{00000000-0005-0000-0000-000051000000}"/>
    <cellStyle name="Normal 2 3" xfId="45" xr:uid="{00000000-0005-0000-0000-000052000000}"/>
    <cellStyle name="Normal 2 3 2" xfId="52" xr:uid="{00000000-0005-0000-0000-000053000000}"/>
    <cellStyle name="Normal 3" xfId="37" xr:uid="{00000000-0005-0000-0000-000054000000}"/>
    <cellStyle name="Normal 4" xfId="43" xr:uid="{00000000-0005-0000-0000-000055000000}"/>
    <cellStyle name="Normal 4 2" xfId="53" xr:uid="{00000000-0005-0000-0000-000056000000}"/>
    <cellStyle name="Normal 4 3" xfId="51" xr:uid="{00000000-0005-0000-0000-000057000000}"/>
    <cellStyle name="Normal 5" xfId="49" xr:uid="{00000000-0005-0000-0000-000058000000}"/>
    <cellStyle name="Normal 6" xfId="55" xr:uid="{00000000-0005-0000-0000-000059000000}"/>
    <cellStyle name="Normal 7" xfId="54" xr:uid="{00000000-0005-0000-0000-00005A000000}"/>
    <cellStyle name="Normal 8" xfId="97" xr:uid="{00000000-0005-0000-0000-00005B000000}"/>
    <cellStyle name="Normal 9" xfId="98" xr:uid="{00000000-0005-0000-0000-00005C000000}"/>
    <cellStyle name="Note" xfId="38" builtinId="10" customBuiltin="1"/>
    <cellStyle name="Note 2" xfId="70" xr:uid="{00000000-0005-0000-0000-00005E000000}"/>
    <cellStyle name="Output" xfId="39" builtinId="21" customBuiltin="1"/>
    <cellStyle name="Output 2" xfId="65" xr:uid="{00000000-0005-0000-0000-000060000000}"/>
    <cellStyle name="Percent" xfId="103" builtinId="5"/>
    <cellStyle name="Title" xfId="40" builtinId="15" customBuiltin="1"/>
    <cellStyle name="Title 2" xfId="56" xr:uid="{00000000-0005-0000-0000-000063000000}"/>
    <cellStyle name="Total" xfId="41" builtinId="25" customBuiltin="1"/>
    <cellStyle name="Total 2" xfId="72" xr:uid="{00000000-0005-0000-0000-000065000000}"/>
    <cellStyle name="Warning Text" xfId="42" builtinId="11" customBuiltin="1"/>
    <cellStyle name="Warning Text 2" xfId="69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44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G7" sqref="G7"/>
    </sheetView>
  </sheetViews>
  <sheetFormatPr defaultColWidth="9.6328125" defaultRowHeight="15.6"/>
  <cols>
    <col min="1" max="1" width="7.453125" style="1" customWidth="1"/>
    <col min="2" max="3" width="16.453125" style="1" customWidth="1"/>
    <col min="4" max="4" width="98.1796875" style="67" bestFit="1" customWidth="1"/>
    <col min="5" max="5" width="7.81640625" style="20" bestFit="1" customWidth="1"/>
    <col min="6" max="6" width="11.54296875" style="8" customWidth="1"/>
    <col min="7" max="7" width="20.08984375" style="8" customWidth="1"/>
    <col min="8" max="8" width="10.6328125" style="6" customWidth="1"/>
    <col min="9" max="9" width="15.08984375" style="6" bestFit="1" customWidth="1"/>
    <col min="10" max="10" width="15.6328125" style="6" bestFit="1" customWidth="1"/>
    <col min="11" max="11" width="12.36328125" style="6" bestFit="1" customWidth="1"/>
    <col min="12" max="12" width="14" style="6" bestFit="1" customWidth="1"/>
    <col min="13" max="13" width="8.81640625" style="6" bestFit="1" customWidth="1"/>
    <col min="14" max="14" width="13.81640625" style="18" customWidth="1"/>
    <col min="15" max="15" width="14.54296875" style="7" bestFit="1" customWidth="1"/>
    <col min="16" max="16" width="15.81640625" style="9" bestFit="1" customWidth="1"/>
    <col min="17" max="17" width="8.36328125" style="1" customWidth="1"/>
    <col min="18" max="18" width="9.6328125" style="1"/>
    <col min="19" max="19" width="10.36328125" style="1" bestFit="1" customWidth="1"/>
    <col min="20" max="20" width="9.6328125" style="1"/>
    <col min="21" max="21" width="9.6328125" style="12"/>
    <col min="22" max="16384" width="9.6328125" style="1"/>
  </cols>
  <sheetData>
    <row r="1" spans="1:25" ht="24.6">
      <c r="A1" s="123" t="s">
        <v>6</v>
      </c>
      <c r="B1" s="124"/>
      <c r="C1" s="76"/>
      <c r="D1" s="127" t="s">
        <v>615</v>
      </c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80" t="s">
        <v>0</v>
      </c>
      <c r="P1" s="81" t="s">
        <v>1</v>
      </c>
    </row>
    <row r="2" spans="1:25" ht="24.6">
      <c r="A2" s="123" t="s">
        <v>7</v>
      </c>
      <c r="B2" s="124"/>
      <c r="C2" s="76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22" t="s">
        <v>27</v>
      </c>
      <c r="P2" s="121">
        <f>P936</f>
        <v>1049877.0810134127</v>
      </c>
    </row>
    <row r="3" spans="1:25" ht="24.6">
      <c r="A3" s="125" t="s">
        <v>5</v>
      </c>
      <c r="B3" s="126"/>
      <c r="C3" s="77"/>
      <c r="D3" s="130">
        <v>45126</v>
      </c>
      <c r="E3" s="128"/>
      <c r="F3" s="128"/>
      <c r="G3" s="128"/>
      <c r="H3" s="128"/>
      <c r="I3" s="128"/>
      <c r="J3" s="128"/>
      <c r="K3" s="128"/>
      <c r="L3" s="128"/>
      <c r="M3" s="128"/>
      <c r="N3" s="129"/>
      <c r="O3" s="122"/>
      <c r="P3" s="122"/>
    </row>
    <row r="4" spans="1:25" s="5" customFormat="1" ht="31.2">
      <c r="A4" s="71" t="s">
        <v>21</v>
      </c>
      <c r="B4" s="71" t="s">
        <v>28</v>
      </c>
      <c r="C4" s="71" t="s">
        <v>29</v>
      </c>
      <c r="D4" s="72" t="s">
        <v>13</v>
      </c>
      <c r="E4" s="71" t="s">
        <v>14</v>
      </c>
      <c r="F4" s="72" t="s">
        <v>15</v>
      </c>
      <c r="G4" s="72" t="s">
        <v>16</v>
      </c>
      <c r="H4" s="73" t="s">
        <v>8</v>
      </c>
      <c r="I4" s="73" t="s">
        <v>10</v>
      </c>
      <c r="J4" s="73" t="s">
        <v>11</v>
      </c>
      <c r="K4" s="73" t="s">
        <v>17</v>
      </c>
      <c r="L4" s="73" t="s">
        <v>18</v>
      </c>
      <c r="M4" s="73" t="s">
        <v>19</v>
      </c>
      <c r="N4" s="74" t="s">
        <v>9</v>
      </c>
      <c r="O4" s="72" t="s">
        <v>2</v>
      </c>
      <c r="P4" s="73" t="s">
        <v>12</v>
      </c>
      <c r="Q4" s="4"/>
      <c r="R4" s="4"/>
      <c r="S4" s="4"/>
      <c r="T4" s="4"/>
      <c r="U4" s="13"/>
      <c r="V4" s="4"/>
      <c r="W4" s="4"/>
      <c r="X4" s="4"/>
      <c r="Y4" s="4"/>
    </row>
    <row r="5" spans="1:25" s="107" customFormat="1" ht="18">
      <c r="A5" s="98" t="str">
        <f>IF(H5&lt;&gt;"",1+MAX($A5:A$5),"")</f>
        <v/>
      </c>
      <c r="B5" s="99"/>
      <c r="C5" s="99"/>
      <c r="D5" s="100" t="s">
        <v>30</v>
      </c>
      <c r="E5" s="101"/>
      <c r="F5" s="102"/>
      <c r="G5" s="103"/>
      <c r="H5" s="102"/>
      <c r="I5" s="102"/>
      <c r="J5" s="102"/>
      <c r="K5" s="102"/>
      <c r="L5" s="102"/>
      <c r="M5" s="102"/>
      <c r="N5" s="104"/>
      <c r="O5" s="102"/>
      <c r="P5" s="105">
        <f>SUM(O7:O22)</f>
        <v>16079.056080000002</v>
      </c>
      <c r="Q5" s="106"/>
      <c r="R5" s="106"/>
      <c r="U5" s="108"/>
    </row>
    <row r="6" spans="1:25" s="3" customFormat="1">
      <c r="A6" s="33" t="str">
        <f>IF(H6&lt;&gt;"",1+MAX($A$5:A5),"")</f>
        <v/>
      </c>
      <c r="B6" s="62"/>
      <c r="C6" s="68"/>
      <c r="D6" s="63"/>
      <c r="E6" s="15"/>
      <c r="F6" s="16"/>
      <c r="G6" s="21"/>
      <c r="H6" s="17"/>
      <c r="I6" s="17"/>
      <c r="J6" s="17"/>
      <c r="K6" s="17"/>
      <c r="L6" s="17"/>
      <c r="M6" s="17"/>
      <c r="N6" s="82" t="s">
        <v>20</v>
      </c>
      <c r="O6" s="29">
        <v>40</v>
      </c>
      <c r="P6" s="54"/>
      <c r="Q6" s="2"/>
      <c r="R6" s="2"/>
      <c r="U6" s="14"/>
    </row>
    <row r="7" spans="1:25" s="40" customFormat="1">
      <c r="A7" s="33" t="str">
        <f>IF(H7&lt;&gt;"",1+MAX($A$5:A6),"")</f>
        <v/>
      </c>
      <c r="B7" s="79"/>
      <c r="C7" s="69"/>
      <c r="D7" s="75" t="s">
        <v>120</v>
      </c>
      <c r="E7" s="35"/>
      <c r="F7" s="36"/>
      <c r="G7" s="37"/>
      <c r="H7" s="38"/>
      <c r="I7" s="19"/>
      <c r="J7" s="19"/>
      <c r="K7" s="31"/>
      <c r="L7" s="19"/>
      <c r="M7" s="32"/>
      <c r="N7" s="11"/>
      <c r="O7" s="11"/>
      <c r="P7" s="54"/>
      <c r="Q7" s="39"/>
      <c r="R7" s="39"/>
      <c r="U7" s="41"/>
    </row>
    <row r="8" spans="1:25" s="40" customFormat="1">
      <c r="A8" s="33">
        <f>IF(H8&lt;&gt;"",1+MAX($A$5:A7),"")</f>
        <v>1</v>
      </c>
      <c r="B8" s="79"/>
      <c r="C8" s="69"/>
      <c r="D8" s="27" t="s">
        <v>616</v>
      </c>
      <c r="E8" s="35">
        <v>83.14</v>
      </c>
      <c r="F8" s="36">
        <v>0.1</v>
      </c>
      <c r="G8" s="37">
        <f t="shared" ref="G8:G22" si="0">(1+F8)*E8</f>
        <v>91.454000000000008</v>
      </c>
      <c r="H8" s="38" t="s">
        <v>4</v>
      </c>
      <c r="I8" s="97">
        <v>0</v>
      </c>
      <c r="J8" s="97">
        <f t="shared" ref="J8" si="1">I8*G8</f>
        <v>0</v>
      </c>
      <c r="K8" s="31">
        <v>0.13300000000000001</v>
      </c>
      <c r="L8" s="19">
        <f t="shared" ref="L8:L22" si="2">$O$6</f>
        <v>40</v>
      </c>
      <c r="M8" s="32">
        <f t="shared" ref="M8" si="3">K8*G8</f>
        <v>12.163382000000002</v>
      </c>
      <c r="N8" s="11">
        <f t="shared" ref="N8" si="4">M8*L8</f>
        <v>486.53528000000006</v>
      </c>
      <c r="O8" s="11">
        <f t="shared" ref="O8" si="5">N8+J8</f>
        <v>486.53528000000006</v>
      </c>
      <c r="P8" s="54"/>
      <c r="Q8" s="39"/>
      <c r="R8" s="39"/>
      <c r="U8" s="41"/>
    </row>
    <row r="9" spans="1:25" s="40" customFormat="1">
      <c r="A9" s="33">
        <f>IF(H9&lt;&gt;"",1+MAX($A$5:A8),"")</f>
        <v>2</v>
      </c>
      <c r="B9" s="79"/>
      <c r="C9" s="69"/>
      <c r="D9" s="27" t="s">
        <v>617</v>
      </c>
      <c r="E9" s="35">
        <v>1234</v>
      </c>
      <c r="F9" s="36">
        <v>0</v>
      </c>
      <c r="G9" s="37">
        <f t="shared" si="0"/>
        <v>1234</v>
      </c>
      <c r="H9" s="38" t="s">
        <v>32</v>
      </c>
      <c r="I9" s="97">
        <v>0</v>
      </c>
      <c r="J9" s="97">
        <f t="shared" ref="J9:J22" si="6">I9*G9</f>
        <v>0</v>
      </c>
      <c r="K9" s="31">
        <v>4.4999999999999998E-2</v>
      </c>
      <c r="L9" s="19">
        <f t="shared" si="2"/>
        <v>40</v>
      </c>
      <c r="M9" s="32">
        <f t="shared" ref="M9:M22" si="7">K9*G9</f>
        <v>55.53</v>
      </c>
      <c r="N9" s="11">
        <f t="shared" ref="N9:N22" si="8">M9*L9</f>
        <v>2221.1999999999998</v>
      </c>
      <c r="O9" s="11">
        <f t="shared" ref="O9:O22" si="9">N9+J9</f>
        <v>2221.1999999999998</v>
      </c>
      <c r="P9" s="54"/>
      <c r="Q9" s="39"/>
      <c r="R9" s="39"/>
      <c r="U9" s="41"/>
    </row>
    <row r="10" spans="1:25" s="40" customFormat="1">
      <c r="A10" s="33">
        <f>IF(H10&lt;&gt;"",1+MAX($A$5:A9),"")</f>
        <v>3</v>
      </c>
      <c r="B10" s="79"/>
      <c r="C10" s="69"/>
      <c r="D10" s="27" t="s">
        <v>618</v>
      </c>
      <c r="E10" s="35">
        <v>294</v>
      </c>
      <c r="F10" s="36">
        <v>0</v>
      </c>
      <c r="G10" s="37">
        <f t="shared" si="0"/>
        <v>294</v>
      </c>
      <c r="H10" s="38" t="s">
        <v>32</v>
      </c>
      <c r="I10" s="97">
        <v>0</v>
      </c>
      <c r="J10" s="97">
        <f t="shared" si="6"/>
        <v>0</v>
      </c>
      <c r="K10" s="31">
        <v>3.3399999999999999E-2</v>
      </c>
      <c r="L10" s="19">
        <f t="shared" si="2"/>
        <v>40</v>
      </c>
      <c r="M10" s="32">
        <f t="shared" si="7"/>
        <v>9.8195999999999994</v>
      </c>
      <c r="N10" s="11">
        <f t="shared" si="8"/>
        <v>392.78399999999999</v>
      </c>
      <c r="O10" s="11">
        <f t="shared" si="9"/>
        <v>392.78399999999999</v>
      </c>
      <c r="P10" s="54"/>
      <c r="Q10" s="39"/>
      <c r="R10" s="39"/>
      <c r="U10" s="41"/>
    </row>
    <row r="11" spans="1:25" s="40" customFormat="1">
      <c r="A11" s="33">
        <f>IF(H11&lt;&gt;"",1+MAX($A$5:A10),"")</f>
        <v>4</v>
      </c>
      <c r="B11" s="79"/>
      <c r="C11" s="69"/>
      <c r="D11" s="27" t="s">
        <v>121</v>
      </c>
      <c r="E11" s="35">
        <v>463</v>
      </c>
      <c r="F11" s="36">
        <v>0</v>
      </c>
      <c r="G11" s="37">
        <f t="shared" si="0"/>
        <v>463</v>
      </c>
      <c r="H11" s="38" t="s">
        <v>32</v>
      </c>
      <c r="I11" s="97">
        <v>0</v>
      </c>
      <c r="J11" s="97">
        <f t="shared" si="6"/>
        <v>0</v>
      </c>
      <c r="K11" s="31">
        <v>0.05</v>
      </c>
      <c r="L11" s="19">
        <f t="shared" si="2"/>
        <v>40</v>
      </c>
      <c r="M11" s="32">
        <f t="shared" si="7"/>
        <v>23.150000000000002</v>
      </c>
      <c r="N11" s="11">
        <f t="shared" si="8"/>
        <v>926.00000000000011</v>
      </c>
      <c r="O11" s="11">
        <f t="shared" si="9"/>
        <v>926.00000000000011</v>
      </c>
      <c r="P11" s="54"/>
      <c r="Q11" s="39"/>
      <c r="R11" s="39"/>
      <c r="U11" s="41"/>
    </row>
    <row r="12" spans="1:25" s="40" customFormat="1">
      <c r="A12" s="33">
        <f>IF(H12&lt;&gt;"",1+MAX($A$5:A11),"")</f>
        <v>5</v>
      </c>
      <c r="B12" s="79"/>
      <c r="C12" s="69"/>
      <c r="D12" s="27" t="s">
        <v>619</v>
      </c>
      <c r="E12" s="35">
        <v>3907</v>
      </c>
      <c r="F12" s="36">
        <v>0</v>
      </c>
      <c r="G12" s="37">
        <f t="shared" si="0"/>
        <v>3907</v>
      </c>
      <c r="H12" s="38" t="s">
        <v>32</v>
      </c>
      <c r="I12" s="97">
        <v>0</v>
      </c>
      <c r="J12" s="97">
        <f t="shared" si="6"/>
        <v>0</v>
      </c>
      <c r="K12" s="31">
        <v>0.04</v>
      </c>
      <c r="L12" s="19">
        <f t="shared" si="2"/>
        <v>40</v>
      </c>
      <c r="M12" s="32">
        <f t="shared" si="7"/>
        <v>156.28</v>
      </c>
      <c r="N12" s="11">
        <f t="shared" si="8"/>
        <v>6251.2</v>
      </c>
      <c r="O12" s="11">
        <f t="shared" si="9"/>
        <v>6251.2</v>
      </c>
      <c r="P12" s="54"/>
      <c r="Q12" s="39"/>
      <c r="R12" s="39"/>
      <c r="U12" s="41"/>
    </row>
    <row r="13" spans="1:25" s="40" customFormat="1">
      <c r="A13" s="33">
        <f>IF(H13&lt;&gt;"",1+MAX($A$5:A12),"")</f>
        <v>6</v>
      </c>
      <c r="B13" s="79"/>
      <c r="C13" s="69"/>
      <c r="D13" s="27" t="s">
        <v>620</v>
      </c>
      <c r="E13" s="35">
        <v>361</v>
      </c>
      <c r="F13" s="36">
        <v>0</v>
      </c>
      <c r="G13" s="37">
        <f t="shared" si="0"/>
        <v>361</v>
      </c>
      <c r="H13" s="38" t="s">
        <v>32</v>
      </c>
      <c r="I13" s="97">
        <v>0</v>
      </c>
      <c r="J13" s="97">
        <f t="shared" si="6"/>
        <v>0</v>
      </c>
      <c r="K13" s="31">
        <v>0.05</v>
      </c>
      <c r="L13" s="19">
        <f t="shared" si="2"/>
        <v>40</v>
      </c>
      <c r="M13" s="32">
        <f t="shared" si="7"/>
        <v>18.05</v>
      </c>
      <c r="N13" s="11">
        <f t="shared" si="8"/>
        <v>722</v>
      </c>
      <c r="O13" s="11">
        <f t="shared" si="9"/>
        <v>722</v>
      </c>
      <c r="P13" s="54"/>
      <c r="Q13" s="39"/>
      <c r="R13" s="39"/>
      <c r="U13" s="41"/>
    </row>
    <row r="14" spans="1:25" s="40" customFormat="1">
      <c r="A14" s="33">
        <f>IF(H14&lt;&gt;"",1+MAX($A$5:A13),"")</f>
        <v>7</v>
      </c>
      <c r="B14" s="79"/>
      <c r="C14" s="69"/>
      <c r="D14" s="27" t="s">
        <v>621</v>
      </c>
      <c r="E14" s="35">
        <v>1154</v>
      </c>
      <c r="F14" s="36">
        <v>0</v>
      </c>
      <c r="G14" s="37">
        <f t="shared" si="0"/>
        <v>1154</v>
      </c>
      <c r="H14" s="38" t="s">
        <v>32</v>
      </c>
      <c r="I14" s="97">
        <v>0</v>
      </c>
      <c r="J14" s="97">
        <f t="shared" si="6"/>
        <v>0</v>
      </c>
      <c r="K14" s="31">
        <v>0.05</v>
      </c>
      <c r="L14" s="19">
        <f t="shared" si="2"/>
        <v>40</v>
      </c>
      <c r="M14" s="32">
        <f t="shared" si="7"/>
        <v>57.7</v>
      </c>
      <c r="N14" s="11">
        <f t="shared" si="8"/>
        <v>2308</v>
      </c>
      <c r="O14" s="11">
        <f t="shared" si="9"/>
        <v>2308</v>
      </c>
      <c r="P14" s="54"/>
      <c r="Q14" s="39"/>
      <c r="R14" s="39"/>
      <c r="U14" s="41"/>
    </row>
    <row r="15" spans="1:25" s="40" customFormat="1">
      <c r="A15" s="33">
        <f>IF(H15&lt;&gt;"",1+MAX($A$5:A14),"")</f>
        <v>8</v>
      </c>
      <c r="B15" s="79"/>
      <c r="C15" s="69"/>
      <c r="D15" s="27" t="s">
        <v>622</v>
      </c>
      <c r="E15" s="35">
        <v>155.97999999999999</v>
      </c>
      <c r="F15" s="36">
        <v>0</v>
      </c>
      <c r="G15" s="37">
        <f t="shared" si="0"/>
        <v>155.97999999999999</v>
      </c>
      <c r="H15" s="38" t="s">
        <v>4</v>
      </c>
      <c r="I15" s="97">
        <v>0</v>
      </c>
      <c r="J15" s="97">
        <f t="shared" si="6"/>
        <v>0</v>
      </c>
      <c r="K15" s="31">
        <v>6.7000000000000004E-2</v>
      </c>
      <c r="L15" s="19">
        <f t="shared" si="2"/>
        <v>40</v>
      </c>
      <c r="M15" s="32">
        <f t="shared" si="7"/>
        <v>10.450659999999999</v>
      </c>
      <c r="N15" s="11">
        <f t="shared" si="8"/>
        <v>418.02639999999997</v>
      </c>
      <c r="O15" s="11">
        <f t="shared" si="9"/>
        <v>418.02639999999997</v>
      </c>
      <c r="P15" s="54"/>
      <c r="Q15" s="39"/>
      <c r="R15" s="39"/>
      <c r="U15" s="41"/>
    </row>
    <row r="16" spans="1:25" s="40" customFormat="1">
      <c r="A16" s="33">
        <f>IF(H16&lt;&gt;"",1+MAX($A$5:A15),"")</f>
        <v>9</v>
      </c>
      <c r="B16" s="79"/>
      <c r="C16" s="69"/>
      <c r="D16" s="27" t="s">
        <v>623</v>
      </c>
      <c r="E16" s="35">
        <v>177.3</v>
      </c>
      <c r="F16" s="36">
        <v>0</v>
      </c>
      <c r="G16" s="37">
        <f t="shared" si="0"/>
        <v>177.3</v>
      </c>
      <c r="H16" s="38" t="s">
        <v>4</v>
      </c>
      <c r="I16" s="97">
        <v>0</v>
      </c>
      <c r="J16" s="97">
        <f t="shared" si="6"/>
        <v>0</v>
      </c>
      <c r="K16" s="31">
        <v>0.13300000000000001</v>
      </c>
      <c r="L16" s="19">
        <f t="shared" si="2"/>
        <v>40</v>
      </c>
      <c r="M16" s="32">
        <f t="shared" si="7"/>
        <v>23.580900000000003</v>
      </c>
      <c r="N16" s="11">
        <f t="shared" si="8"/>
        <v>943.2360000000001</v>
      </c>
      <c r="O16" s="11">
        <f t="shared" si="9"/>
        <v>943.2360000000001</v>
      </c>
      <c r="P16" s="54"/>
      <c r="Q16" s="39"/>
      <c r="R16" s="39"/>
      <c r="U16" s="41"/>
    </row>
    <row r="17" spans="1:21" s="40" customFormat="1">
      <c r="A17" s="33">
        <f>IF(H17&lt;&gt;"",1+MAX($A$5:A16),"")</f>
        <v>10</v>
      </c>
      <c r="B17" s="79"/>
      <c r="C17" s="69"/>
      <c r="D17" s="27" t="s">
        <v>624</v>
      </c>
      <c r="E17" s="35">
        <v>200.11</v>
      </c>
      <c r="F17" s="36">
        <v>0</v>
      </c>
      <c r="G17" s="37">
        <f t="shared" si="0"/>
        <v>200.11</v>
      </c>
      <c r="H17" s="38" t="s">
        <v>4</v>
      </c>
      <c r="I17" s="97">
        <v>0</v>
      </c>
      <c r="J17" s="97">
        <f t="shared" si="6"/>
        <v>0</v>
      </c>
      <c r="K17" s="31">
        <v>3.4000000000000002E-2</v>
      </c>
      <c r="L17" s="19">
        <f t="shared" si="2"/>
        <v>40</v>
      </c>
      <c r="M17" s="32">
        <f t="shared" si="7"/>
        <v>6.8037400000000012</v>
      </c>
      <c r="N17" s="11">
        <f t="shared" si="8"/>
        <v>272.14960000000008</v>
      </c>
      <c r="O17" s="11">
        <f t="shared" si="9"/>
        <v>272.14960000000008</v>
      </c>
      <c r="P17" s="54"/>
      <c r="Q17" s="39"/>
      <c r="R17" s="39"/>
      <c r="U17" s="41"/>
    </row>
    <row r="18" spans="1:21" s="40" customFormat="1">
      <c r="A18" s="33">
        <f>IF(H18&lt;&gt;"",1+MAX($A$5:A17),"")</f>
        <v>11</v>
      </c>
      <c r="B18" s="79"/>
      <c r="C18" s="69"/>
      <c r="D18" s="27" t="s">
        <v>625</v>
      </c>
      <c r="E18" s="35">
        <v>13.18</v>
      </c>
      <c r="F18" s="36">
        <v>0</v>
      </c>
      <c r="G18" s="37">
        <f t="shared" si="0"/>
        <v>13.18</v>
      </c>
      <c r="H18" s="38" t="s">
        <v>4</v>
      </c>
      <c r="I18" s="97">
        <v>0</v>
      </c>
      <c r="J18" s="97">
        <f t="shared" si="6"/>
        <v>0</v>
      </c>
      <c r="K18" s="31">
        <v>3.4000000000000002E-2</v>
      </c>
      <c r="L18" s="19">
        <f t="shared" si="2"/>
        <v>40</v>
      </c>
      <c r="M18" s="32">
        <f t="shared" si="7"/>
        <v>0.44812000000000002</v>
      </c>
      <c r="N18" s="11">
        <f t="shared" si="8"/>
        <v>17.924800000000001</v>
      </c>
      <c r="O18" s="11">
        <f t="shared" si="9"/>
        <v>17.924800000000001</v>
      </c>
      <c r="P18" s="54"/>
      <c r="Q18" s="39"/>
      <c r="R18" s="39"/>
      <c r="U18" s="41"/>
    </row>
    <row r="19" spans="1:21" s="40" customFormat="1">
      <c r="A19" s="33">
        <f>IF(H19&lt;&gt;"",1+MAX($A$5:A18),"")</f>
        <v>12</v>
      </c>
      <c r="B19" s="79"/>
      <c r="C19" s="69"/>
      <c r="D19" s="27" t="s">
        <v>626</v>
      </c>
      <c r="E19" s="35">
        <v>15</v>
      </c>
      <c r="F19" s="36">
        <v>0</v>
      </c>
      <c r="G19" s="37">
        <f t="shared" si="0"/>
        <v>15</v>
      </c>
      <c r="H19" s="38" t="s">
        <v>3</v>
      </c>
      <c r="I19" s="97">
        <v>0</v>
      </c>
      <c r="J19" s="97">
        <f t="shared" si="6"/>
        <v>0</v>
      </c>
      <c r="K19" s="31">
        <v>1</v>
      </c>
      <c r="L19" s="19">
        <f t="shared" si="2"/>
        <v>40</v>
      </c>
      <c r="M19" s="32">
        <f t="shared" si="7"/>
        <v>15</v>
      </c>
      <c r="N19" s="11">
        <f t="shared" si="8"/>
        <v>600</v>
      </c>
      <c r="O19" s="11">
        <f t="shared" si="9"/>
        <v>600</v>
      </c>
      <c r="P19" s="54"/>
      <c r="Q19" s="39"/>
      <c r="R19" s="39"/>
      <c r="U19" s="41"/>
    </row>
    <row r="20" spans="1:21" s="40" customFormat="1">
      <c r="A20" s="33">
        <f>IF(H20&lt;&gt;"",1+MAX($A$5:A19),"")</f>
        <v>13</v>
      </c>
      <c r="B20" s="79"/>
      <c r="C20" s="69"/>
      <c r="D20" s="27" t="s">
        <v>627</v>
      </c>
      <c r="E20" s="35">
        <v>7</v>
      </c>
      <c r="F20" s="36">
        <v>0</v>
      </c>
      <c r="G20" s="37">
        <f t="shared" si="0"/>
        <v>7</v>
      </c>
      <c r="H20" s="38" t="s">
        <v>3</v>
      </c>
      <c r="I20" s="97">
        <v>0</v>
      </c>
      <c r="J20" s="97">
        <f t="shared" si="6"/>
        <v>0</v>
      </c>
      <c r="K20" s="31">
        <v>1</v>
      </c>
      <c r="L20" s="19">
        <f t="shared" si="2"/>
        <v>40</v>
      </c>
      <c r="M20" s="32">
        <f t="shared" si="7"/>
        <v>7</v>
      </c>
      <c r="N20" s="11">
        <f t="shared" si="8"/>
        <v>280</v>
      </c>
      <c r="O20" s="11">
        <f t="shared" si="9"/>
        <v>280</v>
      </c>
      <c r="P20" s="54"/>
      <c r="Q20" s="39"/>
      <c r="R20" s="39"/>
      <c r="U20" s="41"/>
    </row>
    <row r="21" spans="1:21" s="40" customFormat="1">
      <c r="A21" s="33">
        <f>IF(H21&lt;&gt;"",1+MAX($A$5:A20),"")</f>
        <v>14</v>
      </c>
      <c r="B21" s="79"/>
      <c r="C21" s="69"/>
      <c r="D21" s="27" t="s">
        <v>122</v>
      </c>
      <c r="E21" s="35">
        <v>1</v>
      </c>
      <c r="F21" s="36">
        <v>0</v>
      </c>
      <c r="G21" s="37">
        <f t="shared" si="0"/>
        <v>1</v>
      </c>
      <c r="H21" s="38" t="s">
        <v>3</v>
      </c>
      <c r="I21" s="97">
        <v>0</v>
      </c>
      <c r="J21" s="97">
        <f t="shared" si="6"/>
        <v>0</v>
      </c>
      <c r="K21" s="31">
        <v>1</v>
      </c>
      <c r="L21" s="19">
        <f t="shared" si="2"/>
        <v>40</v>
      </c>
      <c r="M21" s="32">
        <f t="shared" si="7"/>
        <v>1</v>
      </c>
      <c r="N21" s="11">
        <f t="shared" si="8"/>
        <v>40</v>
      </c>
      <c r="O21" s="11">
        <f t="shared" si="9"/>
        <v>40</v>
      </c>
      <c r="P21" s="54"/>
      <c r="Q21" s="39"/>
      <c r="R21" s="39"/>
      <c r="U21" s="41"/>
    </row>
    <row r="22" spans="1:21" s="40" customFormat="1">
      <c r="A22" s="33">
        <f>IF(H22&lt;&gt;"",1+MAX($A$5:A21),"")</f>
        <v>15</v>
      </c>
      <c r="B22" s="79"/>
      <c r="C22" s="69"/>
      <c r="D22" s="27" t="s">
        <v>123</v>
      </c>
      <c r="E22" s="35">
        <v>5</v>
      </c>
      <c r="F22" s="36">
        <v>0</v>
      </c>
      <c r="G22" s="37">
        <f t="shared" si="0"/>
        <v>5</v>
      </c>
      <c r="H22" s="38" t="s">
        <v>3</v>
      </c>
      <c r="I22" s="97">
        <v>0</v>
      </c>
      <c r="J22" s="97">
        <f t="shared" si="6"/>
        <v>0</v>
      </c>
      <c r="K22" s="31">
        <v>1</v>
      </c>
      <c r="L22" s="19">
        <f t="shared" si="2"/>
        <v>40</v>
      </c>
      <c r="M22" s="32">
        <f t="shared" si="7"/>
        <v>5</v>
      </c>
      <c r="N22" s="11">
        <f t="shared" si="8"/>
        <v>200</v>
      </c>
      <c r="O22" s="11">
        <f t="shared" si="9"/>
        <v>200</v>
      </c>
      <c r="P22" s="54"/>
      <c r="Q22" s="39"/>
      <c r="R22" s="39"/>
      <c r="U22" s="41"/>
    </row>
    <row r="23" spans="1:21" s="40" customFormat="1">
      <c r="A23" s="33" t="str">
        <f>IF(H23&lt;&gt;"",1+MAX($A$5:A22),"")</f>
        <v/>
      </c>
      <c r="B23" s="79"/>
      <c r="C23" s="69"/>
      <c r="D23" s="27"/>
      <c r="E23" s="35"/>
      <c r="F23" s="36"/>
      <c r="G23" s="37"/>
      <c r="H23" s="38"/>
      <c r="I23" s="19"/>
      <c r="J23" s="19"/>
      <c r="K23" s="31"/>
      <c r="L23" s="19"/>
      <c r="M23" s="32"/>
      <c r="N23" s="11"/>
      <c r="O23" s="11"/>
      <c r="P23" s="54"/>
      <c r="Q23" s="39"/>
      <c r="R23" s="39"/>
      <c r="U23" s="41"/>
    </row>
    <row r="24" spans="1:21" s="107" customFormat="1" ht="18">
      <c r="A24" s="98" t="str">
        <f>IF(H24&lt;&gt;"",1+MAX($A$5:A24),"")</f>
        <v/>
      </c>
      <c r="B24" s="99"/>
      <c r="C24" s="99"/>
      <c r="D24" s="100" t="s">
        <v>82</v>
      </c>
      <c r="E24" s="101"/>
      <c r="F24" s="102"/>
      <c r="G24" s="103"/>
      <c r="H24" s="102"/>
      <c r="I24" s="102"/>
      <c r="J24" s="102"/>
      <c r="K24" s="102"/>
      <c r="L24" s="102"/>
      <c r="M24" s="102"/>
      <c r="N24" s="104"/>
      <c r="O24" s="102"/>
      <c r="P24" s="105">
        <f>SUM(O27:O161)</f>
        <v>51454.128583322447</v>
      </c>
      <c r="Q24" s="106"/>
      <c r="R24" s="106"/>
      <c r="U24" s="108"/>
    </row>
    <row r="25" spans="1:21" s="3" customFormat="1">
      <c r="A25" s="33" t="str">
        <f>IF(H25&lt;&gt;"",1+MAX($A$5:A24),"")</f>
        <v/>
      </c>
      <c r="B25" s="62"/>
      <c r="C25" s="68"/>
      <c r="D25" s="63"/>
      <c r="E25" s="15"/>
      <c r="F25" s="16"/>
      <c r="G25" s="21"/>
      <c r="H25" s="17"/>
      <c r="I25" s="17"/>
      <c r="J25" s="17"/>
      <c r="K25" s="17"/>
      <c r="L25" s="17"/>
      <c r="M25" s="17"/>
      <c r="N25" s="82" t="s">
        <v>20</v>
      </c>
      <c r="O25" s="29">
        <v>42</v>
      </c>
      <c r="P25" s="54"/>
      <c r="Q25" s="2"/>
      <c r="R25" s="2"/>
      <c r="U25" s="14"/>
    </row>
    <row r="26" spans="1:21" s="40" customFormat="1">
      <c r="A26" s="33" t="str">
        <f>IF(H26&lt;&gt;"",1+MAX($A$5:A25),"")</f>
        <v/>
      </c>
      <c r="B26" s="79"/>
      <c r="C26" s="69"/>
      <c r="D26" s="75" t="s">
        <v>124</v>
      </c>
      <c r="E26" s="35"/>
      <c r="F26" s="36"/>
      <c r="G26" s="37"/>
      <c r="H26" s="38"/>
      <c r="I26" s="19"/>
      <c r="J26" s="19"/>
      <c r="K26" s="31"/>
      <c r="L26" s="19"/>
      <c r="M26" s="32"/>
      <c r="N26" s="11"/>
      <c r="O26" s="11"/>
      <c r="P26" s="54"/>
      <c r="Q26" s="39"/>
      <c r="R26" s="39"/>
      <c r="U26" s="41"/>
    </row>
    <row r="27" spans="1:21" s="40" customFormat="1">
      <c r="A27" s="33" t="str">
        <f>IF(H27&lt;&gt;"",1+MAX($A$5:A26),"")</f>
        <v/>
      </c>
      <c r="B27" s="79"/>
      <c r="C27" s="69"/>
      <c r="D27" s="94" t="s">
        <v>83</v>
      </c>
      <c r="E27" s="35"/>
      <c r="F27" s="36"/>
      <c r="G27" s="37"/>
      <c r="H27" s="38"/>
      <c r="I27" s="19"/>
      <c r="J27" s="19"/>
      <c r="K27" s="31"/>
      <c r="L27" s="19"/>
      <c r="M27" s="32"/>
      <c r="N27" s="11"/>
      <c r="O27" s="11"/>
      <c r="P27" s="54"/>
      <c r="Q27" s="39"/>
      <c r="R27" s="39"/>
      <c r="U27" s="41"/>
    </row>
    <row r="28" spans="1:21" s="40" customFormat="1">
      <c r="A28" s="33">
        <f>IF(H28&lt;&gt;"",1+MAX($A$5:A27),"")</f>
        <v>16</v>
      </c>
      <c r="B28" s="79"/>
      <c r="C28" s="69"/>
      <c r="D28" s="96" t="s">
        <v>125</v>
      </c>
      <c r="E28" s="109">
        <v>143.53</v>
      </c>
      <c r="F28" s="110"/>
      <c r="G28" s="111"/>
      <c r="H28" s="112" t="s">
        <v>4</v>
      </c>
      <c r="I28" s="19"/>
      <c r="J28" s="19"/>
      <c r="K28" s="31"/>
      <c r="L28" s="19"/>
      <c r="M28" s="32"/>
      <c r="N28" s="11"/>
      <c r="O28" s="11"/>
      <c r="P28" s="54"/>
      <c r="Q28" s="39"/>
      <c r="R28" s="39"/>
      <c r="U28" s="41"/>
    </row>
    <row r="29" spans="1:21" s="40" customFormat="1">
      <c r="A29" s="33">
        <f>IF(H29&lt;&gt;"",1+MAX($A$5:A28),"")</f>
        <v>17</v>
      </c>
      <c r="B29" s="79"/>
      <c r="C29" s="69"/>
      <c r="D29" s="27" t="s">
        <v>84</v>
      </c>
      <c r="E29" s="35">
        <f>(2*2*E28)/27</f>
        <v>21.263703703703705</v>
      </c>
      <c r="F29" s="36">
        <v>0</v>
      </c>
      <c r="G29" s="37">
        <f t="shared" ref="G29:G34" si="10">(1+F29)*E29</f>
        <v>21.263703703703705</v>
      </c>
      <c r="H29" s="38" t="s">
        <v>85</v>
      </c>
      <c r="I29" s="97">
        <v>0</v>
      </c>
      <c r="J29" s="97">
        <f t="shared" ref="J29" si="11">I29*G29</f>
        <v>0</v>
      </c>
      <c r="K29" s="31">
        <v>0.78</v>
      </c>
      <c r="L29" s="19">
        <f t="shared" ref="L29:L34" si="12">$O$25</f>
        <v>42</v>
      </c>
      <c r="M29" s="32">
        <f t="shared" ref="M29" si="13">K29*G29</f>
        <v>16.585688888888889</v>
      </c>
      <c r="N29" s="11">
        <f t="shared" ref="N29" si="14">M29*L29</f>
        <v>696.59893333333332</v>
      </c>
      <c r="O29" s="11">
        <f t="shared" ref="O29" si="15">N29+J29</f>
        <v>696.59893333333332</v>
      </c>
      <c r="P29" s="54"/>
      <c r="Q29" s="39"/>
      <c r="R29" s="39"/>
      <c r="U29" s="41"/>
    </row>
    <row r="30" spans="1:21" s="40" customFormat="1">
      <c r="A30" s="33">
        <f>IF(H30&lt;&gt;"",1+MAX($A$5:A29),"")</f>
        <v>18</v>
      </c>
      <c r="B30" s="79"/>
      <c r="C30" s="69"/>
      <c r="D30" s="27" t="s">
        <v>86</v>
      </c>
      <c r="E30" s="35">
        <f>2*E28</f>
        <v>287.06</v>
      </c>
      <c r="F30" s="36">
        <v>0</v>
      </c>
      <c r="G30" s="37">
        <f t="shared" si="10"/>
        <v>287.06</v>
      </c>
      <c r="H30" s="38" t="s">
        <v>32</v>
      </c>
      <c r="I30" s="97">
        <v>0</v>
      </c>
      <c r="J30" s="97">
        <f t="shared" ref="J30:J34" si="16">I30*G30</f>
        <v>0</v>
      </c>
      <c r="K30" s="31">
        <v>3.4000000000000002E-2</v>
      </c>
      <c r="L30" s="19">
        <f t="shared" si="12"/>
        <v>42</v>
      </c>
      <c r="M30" s="32">
        <f t="shared" ref="M30:M34" si="17">K30*G30</f>
        <v>9.76004</v>
      </c>
      <c r="N30" s="11">
        <f t="shared" ref="N30:N34" si="18">M30*L30</f>
        <v>409.92167999999998</v>
      </c>
      <c r="O30" s="11">
        <f t="shared" ref="O30:O34" si="19">N30+J30</f>
        <v>409.92167999999998</v>
      </c>
      <c r="P30" s="54"/>
      <c r="Q30" s="39"/>
      <c r="R30" s="39"/>
      <c r="U30" s="41"/>
    </row>
    <row r="31" spans="1:21" s="40" customFormat="1">
      <c r="A31" s="33">
        <f>IF(H31&lt;&gt;"",1+MAX($A$5:A30),"")</f>
        <v>19</v>
      </c>
      <c r="B31" s="79"/>
      <c r="C31" s="69"/>
      <c r="D31" s="27" t="s">
        <v>87</v>
      </c>
      <c r="E31" s="35">
        <f>2*2*E28</f>
        <v>574.12</v>
      </c>
      <c r="F31" s="36">
        <v>0.08</v>
      </c>
      <c r="G31" s="37">
        <f t="shared" si="10"/>
        <v>620.04960000000005</v>
      </c>
      <c r="H31" s="38" t="s">
        <v>32</v>
      </c>
      <c r="I31" s="19">
        <v>1.5773999999999999</v>
      </c>
      <c r="J31" s="19">
        <f t="shared" si="16"/>
        <v>978.06623904000003</v>
      </c>
      <c r="K31" s="31">
        <v>4.5499999999999999E-2</v>
      </c>
      <c r="L31" s="19">
        <f t="shared" si="12"/>
        <v>42</v>
      </c>
      <c r="M31" s="32">
        <f t="shared" si="17"/>
        <v>28.212256800000002</v>
      </c>
      <c r="N31" s="11">
        <f t="shared" si="18"/>
        <v>1184.9147856000002</v>
      </c>
      <c r="O31" s="11">
        <f t="shared" si="19"/>
        <v>2162.9810246400002</v>
      </c>
      <c r="P31" s="54"/>
      <c r="Q31" s="39"/>
      <c r="R31" s="39"/>
      <c r="U31" s="41"/>
    </row>
    <row r="32" spans="1:21" s="40" customFormat="1">
      <c r="A32" s="33">
        <f>IF(H32&lt;&gt;"",1+MAX($A$5:A31),"")</f>
        <v>20</v>
      </c>
      <c r="B32" s="79"/>
      <c r="C32" s="69"/>
      <c r="D32" s="27" t="s">
        <v>88</v>
      </c>
      <c r="E32" s="35">
        <f>(1.333*2*E28)/27</f>
        <v>14.172258518518518</v>
      </c>
      <c r="F32" s="36">
        <v>0.05</v>
      </c>
      <c r="G32" s="37">
        <f t="shared" si="10"/>
        <v>14.880871444444445</v>
      </c>
      <c r="H32" s="38" t="s">
        <v>85</v>
      </c>
      <c r="I32" s="19">
        <v>463.65999999999997</v>
      </c>
      <c r="J32" s="19">
        <f t="shared" si="16"/>
        <v>6899.6648539311109</v>
      </c>
      <c r="K32" s="31">
        <v>1.85</v>
      </c>
      <c r="L32" s="19">
        <f t="shared" si="12"/>
        <v>42</v>
      </c>
      <c r="M32" s="32">
        <f t="shared" si="17"/>
        <v>27.529612172222222</v>
      </c>
      <c r="N32" s="11">
        <f t="shared" si="18"/>
        <v>1156.2437112333334</v>
      </c>
      <c r="O32" s="11">
        <f t="shared" si="19"/>
        <v>8055.9085651644446</v>
      </c>
      <c r="P32" s="54"/>
      <c r="Q32" s="39"/>
      <c r="R32" s="39"/>
      <c r="U32" s="41"/>
    </row>
    <row r="33" spans="1:21" s="40" customFormat="1">
      <c r="A33" s="33">
        <f>IF(H33&lt;&gt;"",1+MAX($A$5:A32),"")</f>
        <v>21</v>
      </c>
      <c r="B33" s="79"/>
      <c r="C33" s="69"/>
      <c r="D33" s="27" t="s">
        <v>89</v>
      </c>
      <c r="E33" s="35">
        <f>E29-E32</f>
        <v>7.0914451851851865</v>
      </c>
      <c r="F33" s="36">
        <v>0</v>
      </c>
      <c r="G33" s="37">
        <f t="shared" si="10"/>
        <v>7.0914451851851865</v>
      </c>
      <c r="H33" s="38" t="s">
        <v>85</v>
      </c>
      <c r="I33" s="97">
        <v>0</v>
      </c>
      <c r="J33" s="97">
        <f t="shared" si="16"/>
        <v>0</v>
      </c>
      <c r="K33" s="31">
        <v>0.7</v>
      </c>
      <c r="L33" s="19">
        <f t="shared" si="12"/>
        <v>42</v>
      </c>
      <c r="M33" s="32">
        <f t="shared" si="17"/>
        <v>4.9640116296296304</v>
      </c>
      <c r="N33" s="11">
        <f t="shared" si="18"/>
        <v>208.48848844444447</v>
      </c>
      <c r="O33" s="11">
        <f t="shared" si="19"/>
        <v>208.48848844444447</v>
      </c>
      <c r="P33" s="54"/>
      <c r="Q33" s="39"/>
      <c r="R33" s="39"/>
      <c r="U33" s="41"/>
    </row>
    <row r="34" spans="1:21" s="40" customFormat="1">
      <c r="A34" s="33">
        <f>IF(H34&lt;&gt;"",1+MAX($A$5:A33),"")</f>
        <v>22</v>
      </c>
      <c r="B34" s="79"/>
      <c r="C34" s="69"/>
      <c r="D34" s="27" t="s">
        <v>90</v>
      </c>
      <c r="E34" s="35">
        <f>E32</f>
        <v>14.172258518518518</v>
      </c>
      <c r="F34" s="36">
        <v>0</v>
      </c>
      <c r="G34" s="37">
        <f t="shared" si="10"/>
        <v>14.172258518518518</v>
      </c>
      <c r="H34" s="38" t="s">
        <v>85</v>
      </c>
      <c r="I34" s="97">
        <v>0</v>
      </c>
      <c r="J34" s="97">
        <f t="shared" si="16"/>
        <v>0</v>
      </c>
      <c r="K34" s="31">
        <v>0.83</v>
      </c>
      <c r="L34" s="19">
        <f t="shared" si="12"/>
        <v>42</v>
      </c>
      <c r="M34" s="32">
        <f t="shared" si="17"/>
        <v>11.762974570370369</v>
      </c>
      <c r="N34" s="11">
        <f t="shared" si="18"/>
        <v>494.04493195555551</v>
      </c>
      <c r="O34" s="11">
        <f t="shared" si="19"/>
        <v>494.04493195555551</v>
      </c>
      <c r="P34" s="54"/>
      <c r="Q34" s="39"/>
      <c r="R34" s="39"/>
      <c r="U34" s="41"/>
    </row>
    <row r="35" spans="1:21" s="40" customFormat="1">
      <c r="A35" s="33" t="str">
        <f>IF(H35&lt;&gt;"",1+MAX($A$5:A34),"")</f>
        <v/>
      </c>
      <c r="B35" s="79"/>
      <c r="C35" s="69"/>
      <c r="D35" s="27" t="s">
        <v>96</v>
      </c>
      <c r="E35" s="35"/>
      <c r="F35" s="36"/>
      <c r="G35" s="37"/>
      <c r="H35" s="38"/>
      <c r="I35" s="19"/>
      <c r="J35" s="19"/>
      <c r="K35" s="31"/>
      <c r="L35" s="19"/>
      <c r="M35" s="32"/>
      <c r="N35" s="11"/>
      <c r="O35" s="11"/>
      <c r="P35" s="54"/>
      <c r="Q35" s="39"/>
      <c r="R35" s="39"/>
      <c r="U35" s="41"/>
    </row>
    <row r="36" spans="1:21" s="40" customFormat="1">
      <c r="A36" s="33">
        <f>IF(H36&lt;&gt;"",1+MAX($A$5:A35),"")</f>
        <v>23</v>
      </c>
      <c r="B36" s="79"/>
      <c r="C36" s="69"/>
      <c r="D36" s="96" t="s">
        <v>126</v>
      </c>
      <c r="E36" s="109">
        <v>9.42</v>
      </c>
      <c r="F36" s="110"/>
      <c r="G36" s="111"/>
      <c r="H36" s="112" t="s">
        <v>4</v>
      </c>
      <c r="I36" s="19"/>
      <c r="J36" s="19"/>
      <c r="K36" s="31"/>
      <c r="L36" s="19"/>
      <c r="M36" s="32"/>
      <c r="N36" s="11"/>
      <c r="O36" s="11"/>
      <c r="P36" s="54"/>
      <c r="Q36" s="39"/>
      <c r="R36" s="39"/>
      <c r="U36" s="41"/>
    </row>
    <row r="37" spans="1:21" s="40" customFormat="1">
      <c r="A37" s="33">
        <f>IF(H37&lt;&gt;"",1+MAX($A$5:A36),"")</f>
        <v>24</v>
      </c>
      <c r="B37" s="79"/>
      <c r="C37" s="69"/>
      <c r="D37" s="27" t="s">
        <v>84</v>
      </c>
      <c r="E37" s="35">
        <f>(2*2*E36)/27</f>
        <v>1.3955555555555554</v>
      </c>
      <c r="F37" s="36">
        <v>0</v>
      </c>
      <c r="G37" s="37">
        <f t="shared" ref="G37:G42" si="20">(1+F37)*E37</f>
        <v>1.3955555555555554</v>
      </c>
      <c r="H37" s="38" t="s">
        <v>85</v>
      </c>
      <c r="I37" s="97">
        <v>0</v>
      </c>
      <c r="J37" s="97">
        <f t="shared" ref="J37:J42" si="21">I37*G37</f>
        <v>0</v>
      </c>
      <c r="K37" s="31">
        <v>0.78</v>
      </c>
      <c r="L37" s="19">
        <f t="shared" ref="L37:L42" si="22">$O$25</f>
        <v>42</v>
      </c>
      <c r="M37" s="32">
        <f t="shared" ref="M37:M42" si="23">K37*G37</f>
        <v>1.0885333333333334</v>
      </c>
      <c r="N37" s="11">
        <f t="shared" ref="N37:N42" si="24">M37*L37</f>
        <v>45.718400000000003</v>
      </c>
      <c r="O37" s="11">
        <f t="shared" ref="O37:O42" si="25">N37+J37</f>
        <v>45.718400000000003</v>
      </c>
      <c r="P37" s="54"/>
      <c r="Q37" s="39"/>
      <c r="R37" s="39"/>
      <c r="U37" s="41"/>
    </row>
    <row r="38" spans="1:21" s="40" customFormat="1">
      <c r="A38" s="33">
        <f>IF(H38&lt;&gt;"",1+MAX($A$5:A37),"")</f>
        <v>25</v>
      </c>
      <c r="B38" s="79"/>
      <c r="C38" s="69"/>
      <c r="D38" s="27" t="s">
        <v>86</v>
      </c>
      <c r="E38" s="35">
        <f>2*E36</f>
        <v>18.84</v>
      </c>
      <c r="F38" s="36">
        <v>0</v>
      </c>
      <c r="G38" s="37">
        <f t="shared" si="20"/>
        <v>18.84</v>
      </c>
      <c r="H38" s="38" t="s">
        <v>32</v>
      </c>
      <c r="I38" s="97">
        <v>0</v>
      </c>
      <c r="J38" s="97">
        <f t="shared" si="21"/>
        <v>0</v>
      </c>
      <c r="K38" s="31">
        <v>3.4000000000000002E-2</v>
      </c>
      <c r="L38" s="19">
        <f t="shared" si="22"/>
        <v>42</v>
      </c>
      <c r="M38" s="32">
        <f t="shared" si="23"/>
        <v>0.64056000000000002</v>
      </c>
      <c r="N38" s="11">
        <f t="shared" si="24"/>
        <v>26.90352</v>
      </c>
      <c r="O38" s="11">
        <f t="shared" si="25"/>
        <v>26.90352</v>
      </c>
      <c r="P38" s="54"/>
      <c r="Q38" s="39"/>
      <c r="R38" s="39"/>
      <c r="U38" s="41"/>
    </row>
    <row r="39" spans="1:21" s="40" customFormat="1">
      <c r="A39" s="33">
        <f>IF(H39&lt;&gt;"",1+MAX($A$5:A38),"")</f>
        <v>26</v>
      </c>
      <c r="B39" s="79"/>
      <c r="C39" s="69"/>
      <c r="D39" s="27" t="s">
        <v>87</v>
      </c>
      <c r="E39" s="35">
        <f>2*2*E36</f>
        <v>37.68</v>
      </c>
      <c r="F39" s="36">
        <v>0.08</v>
      </c>
      <c r="G39" s="37">
        <f t="shared" si="20"/>
        <v>40.694400000000002</v>
      </c>
      <c r="H39" s="38" t="s">
        <v>32</v>
      </c>
      <c r="I39" s="19">
        <v>1.5773999999999999</v>
      </c>
      <c r="J39" s="19">
        <f t="shared" si="21"/>
        <v>64.191346559999999</v>
      </c>
      <c r="K39" s="31">
        <v>4.5499999999999999E-2</v>
      </c>
      <c r="L39" s="19">
        <f t="shared" si="22"/>
        <v>42</v>
      </c>
      <c r="M39" s="32">
        <f t="shared" si="23"/>
        <v>1.8515952</v>
      </c>
      <c r="N39" s="11">
        <f t="shared" si="24"/>
        <v>77.766998400000006</v>
      </c>
      <c r="O39" s="11">
        <f t="shared" si="25"/>
        <v>141.95834496000001</v>
      </c>
      <c r="P39" s="54"/>
      <c r="Q39" s="39"/>
      <c r="R39" s="39"/>
      <c r="U39" s="41"/>
    </row>
    <row r="40" spans="1:21" s="40" customFormat="1">
      <c r="A40" s="33">
        <f>IF(H40&lt;&gt;"",1+MAX($A$5:A39),"")</f>
        <v>27</v>
      </c>
      <c r="B40" s="79"/>
      <c r="C40" s="69"/>
      <c r="D40" s="27" t="s">
        <v>88</v>
      </c>
      <c r="E40" s="35">
        <f>(1.333*2*E36)/27</f>
        <v>0.93013777777777784</v>
      </c>
      <c r="F40" s="36">
        <v>0.05</v>
      </c>
      <c r="G40" s="37">
        <f t="shared" si="20"/>
        <v>0.97664466666666683</v>
      </c>
      <c r="H40" s="38" t="s">
        <v>85</v>
      </c>
      <c r="I40" s="19">
        <v>463.65999999999997</v>
      </c>
      <c r="J40" s="19">
        <f t="shared" si="21"/>
        <v>452.83106614666673</v>
      </c>
      <c r="K40" s="31">
        <v>1.85</v>
      </c>
      <c r="L40" s="19">
        <f t="shared" si="22"/>
        <v>42</v>
      </c>
      <c r="M40" s="32">
        <f t="shared" si="23"/>
        <v>1.8067926333333337</v>
      </c>
      <c r="N40" s="11">
        <f t="shared" si="24"/>
        <v>75.885290600000019</v>
      </c>
      <c r="O40" s="11">
        <f t="shared" si="25"/>
        <v>528.71635674666675</v>
      </c>
      <c r="P40" s="54"/>
      <c r="Q40" s="39"/>
      <c r="R40" s="39"/>
      <c r="U40" s="41"/>
    </row>
    <row r="41" spans="1:21" s="40" customFormat="1">
      <c r="A41" s="33">
        <f>IF(H41&lt;&gt;"",1+MAX($A$5:A40),"")</f>
        <v>28</v>
      </c>
      <c r="B41" s="79"/>
      <c r="C41" s="69"/>
      <c r="D41" s="27" t="s">
        <v>89</v>
      </c>
      <c r="E41" s="35">
        <f>E37-E40</f>
        <v>0.4654177777777776</v>
      </c>
      <c r="F41" s="36">
        <v>0</v>
      </c>
      <c r="G41" s="37">
        <f t="shared" si="20"/>
        <v>0.4654177777777776</v>
      </c>
      <c r="H41" s="38" t="s">
        <v>85</v>
      </c>
      <c r="I41" s="97">
        <v>0</v>
      </c>
      <c r="J41" s="97">
        <f t="shared" si="21"/>
        <v>0</v>
      </c>
      <c r="K41" s="31">
        <v>0.7</v>
      </c>
      <c r="L41" s="19">
        <f t="shared" si="22"/>
        <v>42</v>
      </c>
      <c r="M41" s="32">
        <f t="shared" si="23"/>
        <v>0.32579244444444427</v>
      </c>
      <c r="N41" s="11">
        <f t="shared" si="24"/>
        <v>13.68328266666666</v>
      </c>
      <c r="O41" s="11">
        <f t="shared" si="25"/>
        <v>13.68328266666666</v>
      </c>
      <c r="P41" s="54"/>
      <c r="Q41" s="39"/>
      <c r="R41" s="39"/>
      <c r="U41" s="41"/>
    </row>
    <row r="42" spans="1:21" s="40" customFormat="1">
      <c r="A42" s="33">
        <f>IF(H42&lt;&gt;"",1+MAX($A$5:A41),"")</f>
        <v>29</v>
      </c>
      <c r="B42" s="79"/>
      <c r="C42" s="69"/>
      <c r="D42" s="27" t="s">
        <v>90</v>
      </c>
      <c r="E42" s="35">
        <f>E40</f>
        <v>0.93013777777777784</v>
      </c>
      <c r="F42" s="36">
        <v>0</v>
      </c>
      <c r="G42" s="37">
        <f t="shared" si="20"/>
        <v>0.93013777777777784</v>
      </c>
      <c r="H42" s="38" t="s">
        <v>85</v>
      </c>
      <c r="I42" s="97">
        <v>0</v>
      </c>
      <c r="J42" s="97">
        <f t="shared" si="21"/>
        <v>0</v>
      </c>
      <c r="K42" s="31">
        <v>0.83</v>
      </c>
      <c r="L42" s="19">
        <f t="shared" si="22"/>
        <v>42</v>
      </c>
      <c r="M42" s="32">
        <f t="shared" si="23"/>
        <v>0.77201435555555553</v>
      </c>
      <c r="N42" s="11">
        <f t="shared" si="24"/>
        <v>32.424602933333333</v>
      </c>
      <c r="O42" s="11">
        <f t="shared" si="25"/>
        <v>32.424602933333333</v>
      </c>
      <c r="P42" s="54"/>
      <c r="Q42" s="39"/>
      <c r="R42" s="39"/>
      <c r="U42" s="41"/>
    </row>
    <row r="43" spans="1:21" s="40" customFormat="1">
      <c r="A43" s="33" t="str">
        <f>IF(H43&lt;&gt;"",1+MAX($A$5:A42),"")</f>
        <v/>
      </c>
      <c r="B43" s="79"/>
      <c r="C43" s="69"/>
      <c r="D43" s="27" t="s">
        <v>96</v>
      </c>
      <c r="E43" s="35"/>
      <c r="F43" s="36"/>
      <c r="G43" s="37"/>
      <c r="H43" s="38"/>
      <c r="I43" s="19"/>
      <c r="J43" s="19"/>
      <c r="K43" s="31"/>
      <c r="L43" s="19"/>
      <c r="M43" s="32"/>
      <c r="N43" s="11"/>
      <c r="O43" s="11"/>
      <c r="P43" s="54"/>
      <c r="Q43" s="39"/>
      <c r="R43" s="39"/>
      <c r="U43" s="41"/>
    </row>
    <row r="44" spans="1:21" s="40" customFormat="1">
      <c r="A44" s="33">
        <f>IF(H44&lt;&gt;"",1+MAX($A$5:A43),"")</f>
        <v>30</v>
      </c>
      <c r="B44" s="79"/>
      <c r="C44" s="69"/>
      <c r="D44" s="96" t="s">
        <v>127</v>
      </c>
      <c r="E44" s="109">
        <v>13.21</v>
      </c>
      <c r="F44" s="110"/>
      <c r="G44" s="111"/>
      <c r="H44" s="112" t="s">
        <v>4</v>
      </c>
      <c r="I44" s="19"/>
      <c r="J44" s="19"/>
      <c r="K44" s="31"/>
      <c r="L44" s="19"/>
      <c r="M44" s="32"/>
      <c r="N44" s="11"/>
      <c r="O44" s="11"/>
      <c r="P44" s="54"/>
      <c r="Q44" s="39"/>
      <c r="R44" s="39"/>
      <c r="U44" s="41"/>
    </row>
    <row r="45" spans="1:21" s="40" customFormat="1">
      <c r="A45" s="33">
        <f>IF(H45&lt;&gt;"",1+MAX($A$5:A44),"")</f>
        <v>31</v>
      </c>
      <c r="B45" s="79"/>
      <c r="C45" s="69"/>
      <c r="D45" s="27" t="s">
        <v>84</v>
      </c>
      <c r="E45" s="35">
        <f>(2*2*E44)/27</f>
        <v>1.9570370370370371</v>
      </c>
      <c r="F45" s="36">
        <v>0</v>
      </c>
      <c r="G45" s="37">
        <f t="shared" ref="G45:G50" si="26">(1+F45)*E45</f>
        <v>1.9570370370370371</v>
      </c>
      <c r="H45" s="38" t="s">
        <v>85</v>
      </c>
      <c r="I45" s="97">
        <v>0</v>
      </c>
      <c r="J45" s="97">
        <f t="shared" ref="J45:J50" si="27">I45*G45</f>
        <v>0</v>
      </c>
      <c r="K45" s="31">
        <v>0.78</v>
      </c>
      <c r="L45" s="19">
        <f t="shared" ref="L45:L50" si="28">$O$25</f>
        <v>42</v>
      </c>
      <c r="M45" s="32">
        <f t="shared" ref="M45:M50" si="29">K45*G45</f>
        <v>1.526488888888889</v>
      </c>
      <c r="N45" s="11">
        <f t="shared" ref="N45:N50" si="30">M45*L45</f>
        <v>64.112533333333332</v>
      </c>
      <c r="O45" s="11">
        <f t="shared" ref="O45:O50" si="31">N45+J45</f>
        <v>64.112533333333332</v>
      </c>
      <c r="P45" s="54"/>
      <c r="Q45" s="39"/>
      <c r="R45" s="39"/>
      <c r="U45" s="41"/>
    </row>
    <row r="46" spans="1:21" s="40" customFormat="1">
      <c r="A46" s="33">
        <f>IF(H46&lt;&gt;"",1+MAX($A$5:A45),"")</f>
        <v>32</v>
      </c>
      <c r="B46" s="79"/>
      <c r="C46" s="69"/>
      <c r="D46" s="27" t="s">
        <v>86</v>
      </c>
      <c r="E46" s="35">
        <f>2*E44</f>
        <v>26.42</v>
      </c>
      <c r="F46" s="36">
        <v>0</v>
      </c>
      <c r="G46" s="37">
        <f t="shared" si="26"/>
        <v>26.42</v>
      </c>
      <c r="H46" s="38" t="s">
        <v>32</v>
      </c>
      <c r="I46" s="97">
        <v>0</v>
      </c>
      <c r="J46" s="97">
        <f t="shared" si="27"/>
        <v>0</v>
      </c>
      <c r="K46" s="31">
        <v>3.4000000000000002E-2</v>
      </c>
      <c r="L46" s="19">
        <f t="shared" si="28"/>
        <v>42</v>
      </c>
      <c r="M46" s="32">
        <f t="shared" si="29"/>
        <v>0.89828000000000008</v>
      </c>
      <c r="N46" s="11">
        <f t="shared" si="30"/>
        <v>37.727760000000004</v>
      </c>
      <c r="O46" s="11">
        <f t="shared" si="31"/>
        <v>37.727760000000004</v>
      </c>
      <c r="P46" s="54"/>
      <c r="Q46" s="39"/>
      <c r="R46" s="39"/>
      <c r="U46" s="41"/>
    </row>
    <row r="47" spans="1:21" s="40" customFormat="1">
      <c r="A47" s="33">
        <f>IF(H47&lt;&gt;"",1+MAX($A$5:A46),"")</f>
        <v>33</v>
      </c>
      <c r="B47" s="79"/>
      <c r="C47" s="69"/>
      <c r="D47" s="27" t="s">
        <v>87</v>
      </c>
      <c r="E47" s="35">
        <f>2*2*E44</f>
        <v>52.84</v>
      </c>
      <c r="F47" s="36">
        <v>0.08</v>
      </c>
      <c r="G47" s="37">
        <f t="shared" si="26"/>
        <v>57.067200000000007</v>
      </c>
      <c r="H47" s="38" t="s">
        <v>32</v>
      </c>
      <c r="I47" s="19">
        <v>1.5773999999999999</v>
      </c>
      <c r="J47" s="19">
        <f t="shared" si="27"/>
        <v>90.01780128</v>
      </c>
      <c r="K47" s="31">
        <v>4.5499999999999999E-2</v>
      </c>
      <c r="L47" s="19">
        <f t="shared" si="28"/>
        <v>42</v>
      </c>
      <c r="M47" s="32">
        <f t="shared" si="29"/>
        <v>2.5965576000000001</v>
      </c>
      <c r="N47" s="11">
        <f t="shared" si="30"/>
        <v>109.0554192</v>
      </c>
      <c r="O47" s="11">
        <f t="shared" si="31"/>
        <v>199.07322048</v>
      </c>
      <c r="P47" s="54"/>
      <c r="Q47" s="39"/>
      <c r="R47" s="39"/>
      <c r="U47" s="41"/>
    </row>
    <row r="48" spans="1:21" s="40" customFormat="1">
      <c r="A48" s="33">
        <f>IF(H48&lt;&gt;"",1+MAX($A$5:A47),"")</f>
        <v>34</v>
      </c>
      <c r="B48" s="79"/>
      <c r="C48" s="69"/>
      <c r="D48" s="27" t="s">
        <v>88</v>
      </c>
      <c r="E48" s="35">
        <f>(1.333*2*E44)/27</f>
        <v>1.3043651851851852</v>
      </c>
      <c r="F48" s="36">
        <v>0.05</v>
      </c>
      <c r="G48" s="37">
        <f t="shared" si="26"/>
        <v>1.3695834444444446</v>
      </c>
      <c r="H48" s="38" t="s">
        <v>85</v>
      </c>
      <c r="I48" s="19">
        <v>463.65999999999997</v>
      </c>
      <c r="J48" s="19">
        <f t="shared" si="27"/>
        <v>635.02105985111109</v>
      </c>
      <c r="K48" s="31">
        <v>1.85</v>
      </c>
      <c r="L48" s="19">
        <f t="shared" si="28"/>
        <v>42</v>
      </c>
      <c r="M48" s="32">
        <f t="shared" si="29"/>
        <v>2.5337293722222225</v>
      </c>
      <c r="N48" s="11">
        <f t="shared" si="30"/>
        <v>106.41663363333335</v>
      </c>
      <c r="O48" s="11">
        <f t="shared" si="31"/>
        <v>741.43769348444448</v>
      </c>
      <c r="P48" s="54"/>
      <c r="Q48" s="39"/>
      <c r="R48" s="39"/>
      <c r="U48" s="41"/>
    </row>
    <row r="49" spans="1:21" s="40" customFormat="1">
      <c r="A49" s="33">
        <f>IF(H49&lt;&gt;"",1+MAX($A$5:A48),"")</f>
        <v>35</v>
      </c>
      <c r="B49" s="79"/>
      <c r="C49" s="69"/>
      <c r="D49" s="27" t="s">
        <v>89</v>
      </c>
      <c r="E49" s="35">
        <f>E45-E48</f>
        <v>0.65267185185185195</v>
      </c>
      <c r="F49" s="36">
        <v>0</v>
      </c>
      <c r="G49" s="37">
        <f t="shared" si="26"/>
        <v>0.65267185185185195</v>
      </c>
      <c r="H49" s="38" t="s">
        <v>85</v>
      </c>
      <c r="I49" s="97">
        <v>0</v>
      </c>
      <c r="J49" s="97">
        <f t="shared" si="27"/>
        <v>0</v>
      </c>
      <c r="K49" s="31">
        <v>0.7</v>
      </c>
      <c r="L49" s="19">
        <f t="shared" si="28"/>
        <v>42</v>
      </c>
      <c r="M49" s="32">
        <f t="shared" si="29"/>
        <v>0.45687029629629633</v>
      </c>
      <c r="N49" s="11">
        <f t="shared" si="30"/>
        <v>19.188552444444447</v>
      </c>
      <c r="O49" s="11">
        <f t="shared" si="31"/>
        <v>19.188552444444447</v>
      </c>
      <c r="P49" s="54"/>
      <c r="Q49" s="39"/>
      <c r="R49" s="39"/>
      <c r="U49" s="41"/>
    </row>
    <row r="50" spans="1:21" s="40" customFormat="1">
      <c r="A50" s="33">
        <f>IF(H50&lt;&gt;"",1+MAX($A$5:A49),"")</f>
        <v>36</v>
      </c>
      <c r="B50" s="79"/>
      <c r="C50" s="69"/>
      <c r="D50" s="27" t="s">
        <v>90</v>
      </c>
      <c r="E50" s="35">
        <f>E48</f>
        <v>1.3043651851851852</v>
      </c>
      <c r="F50" s="36">
        <v>0</v>
      </c>
      <c r="G50" s="37">
        <f t="shared" si="26"/>
        <v>1.3043651851851852</v>
      </c>
      <c r="H50" s="38" t="s">
        <v>85</v>
      </c>
      <c r="I50" s="97">
        <v>0</v>
      </c>
      <c r="J50" s="97">
        <f t="shared" si="27"/>
        <v>0</v>
      </c>
      <c r="K50" s="31">
        <v>0.83</v>
      </c>
      <c r="L50" s="19">
        <f t="shared" si="28"/>
        <v>42</v>
      </c>
      <c r="M50" s="32">
        <f t="shared" si="29"/>
        <v>1.0826231037037037</v>
      </c>
      <c r="N50" s="11">
        <f t="shared" si="30"/>
        <v>45.47017035555556</v>
      </c>
      <c r="O50" s="11">
        <f t="shared" si="31"/>
        <v>45.47017035555556</v>
      </c>
      <c r="P50" s="54"/>
      <c r="Q50" s="39"/>
      <c r="R50" s="39"/>
      <c r="U50" s="41"/>
    </row>
    <row r="51" spans="1:21" s="40" customFormat="1">
      <c r="A51" s="33" t="str">
        <f>IF(H51&lt;&gt;"",1+MAX($A$5:A50),"")</f>
        <v/>
      </c>
      <c r="B51" s="79"/>
      <c r="C51" s="69"/>
      <c r="D51" s="27" t="s">
        <v>96</v>
      </c>
      <c r="E51" s="35"/>
      <c r="F51" s="36"/>
      <c r="G51" s="37"/>
      <c r="H51" s="38"/>
      <c r="I51" s="19"/>
      <c r="J51" s="19"/>
      <c r="K51" s="31"/>
      <c r="L51" s="19"/>
      <c r="M51" s="32"/>
      <c r="N51" s="11"/>
      <c r="O51" s="11"/>
      <c r="P51" s="54"/>
      <c r="Q51" s="39"/>
      <c r="R51" s="39"/>
      <c r="U51" s="41"/>
    </row>
    <row r="52" spans="1:21" s="40" customFormat="1">
      <c r="A52" s="33">
        <f>IF(H52&lt;&gt;"",1+MAX($A$5:A51),"")</f>
        <v>37</v>
      </c>
      <c r="B52" s="79"/>
      <c r="C52" s="69"/>
      <c r="D52" s="96" t="s">
        <v>128</v>
      </c>
      <c r="E52" s="109">
        <v>13.21</v>
      </c>
      <c r="F52" s="110"/>
      <c r="G52" s="111"/>
      <c r="H52" s="112" t="s">
        <v>4</v>
      </c>
      <c r="I52" s="19"/>
      <c r="J52" s="19"/>
      <c r="K52" s="31"/>
      <c r="L52" s="19"/>
      <c r="M52" s="32"/>
      <c r="N52" s="11"/>
      <c r="O52" s="11"/>
      <c r="P52" s="54"/>
      <c r="Q52" s="39"/>
      <c r="R52" s="39"/>
      <c r="U52" s="41"/>
    </row>
    <row r="53" spans="1:21" s="40" customFormat="1">
      <c r="A53" s="33">
        <f>IF(H53&lt;&gt;"",1+MAX($A$5:A52),"")</f>
        <v>38</v>
      </c>
      <c r="B53" s="79"/>
      <c r="C53" s="69"/>
      <c r="D53" s="27" t="s">
        <v>87</v>
      </c>
      <c r="E53" s="35">
        <f>0.333*2*E52</f>
        <v>8.7978600000000018</v>
      </c>
      <c r="F53" s="36">
        <v>0.08</v>
      </c>
      <c r="G53" s="37">
        <f>(1+F53)*E53</f>
        <v>9.5016888000000019</v>
      </c>
      <c r="H53" s="38" t="s">
        <v>32</v>
      </c>
      <c r="I53" s="19">
        <v>1.5773999999999999</v>
      </c>
      <c r="J53" s="19">
        <f t="shared" ref="J53:J54" si="32">I53*G53</f>
        <v>14.987963913120002</v>
      </c>
      <c r="K53" s="31">
        <v>4.5499999999999999E-2</v>
      </c>
      <c r="L53" s="19">
        <f t="shared" ref="L53:L54" si="33">$O$25</f>
        <v>42</v>
      </c>
      <c r="M53" s="32">
        <f t="shared" ref="M53:M54" si="34">K53*G53</f>
        <v>0.43232684040000008</v>
      </c>
      <c r="N53" s="11">
        <f t="shared" ref="N53:N54" si="35">M53*L53</f>
        <v>18.157727296800005</v>
      </c>
      <c r="O53" s="11">
        <f t="shared" ref="O53:O54" si="36">N53+J53</f>
        <v>33.145691209920003</v>
      </c>
      <c r="P53" s="54"/>
      <c r="Q53" s="39"/>
      <c r="R53" s="39"/>
      <c r="U53" s="41"/>
    </row>
    <row r="54" spans="1:21" s="40" customFormat="1">
      <c r="A54" s="33">
        <f>IF(H54&lt;&gt;"",1+MAX($A$5:A53),"")</f>
        <v>39</v>
      </c>
      <c r="B54" s="79"/>
      <c r="C54" s="69"/>
      <c r="D54" s="27" t="s">
        <v>88</v>
      </c>
      <c r="E54" s="35">
        <f>(0.333*0.5*E52)/27</f>
        <v>8.1461666666666682E-2</v>
      </c>
      <c r="F54" s="36">
        <v>0.05</v>
      </c>
      <c r="G54" s="37">
        <f>(1+F54)*E54</f>
        <v>8.553475000000002E-2</v>
      </c>
      <c r="H54" s="38" t="s">
        <v>85</v>
      </c>
      <c r="I54" s="19">
        <v>463.65999999999997</v>
      </c>
      <c r="J54" s="19">
        <f t="shared" si="32"/>
        <v>39.659042185000004</v>
      </c>
      <c r="K54" s="31">
        <v>1.85</v>
      </c>
      <c r="L54" s="19">
        <f t="shared" si="33"/>
        <v>42</v>
      </c>
      <c r="M54" s="32">
        <f t="shared" si="34"/>
        <v>0.15823928750000005</v>
      </c>
      <c r="N54" s="11">
        <f t="shared" si="35"/>
        <v>6.6460500750000016</v>
      </c>
      <c r="O54" s="11">
        <f t="shared" si="36"/>
        <v>46.305092260000009</v>
      </c>
      <c r="P54" s="54"/>
      <c r="Q54" s="39"/>
      <c r="R54" s="39"/>
      <c r="U54" s="41"/>
    </row>
    <row r="55" spans="1:21" s="40" customFormat="1">
      <c r="A55" s="33" t="str">
        <f>IF(H55&lt;&gt;"",1+MAX($A$5:A54),"")</f>
        <v/>
      </c>
      <c r="B55" s="79"/>
      <c r="C55" s="69"/>
      <c r="D55" s="27" t="s">
        <v>96</v>
      </c>
      <c r="E55" s="35"/>
      <c r="F55" s="36"/>
      <c r="G55" s="37"/>
      <c r="H55" s="38"/>
      <c r="I55" s="19"/>
      <c r="J55" s="19"/>
      <c r="K55" s="31"/>
      <c r="L55" s="19"/>
      <c r="M55" s="32"/>
      <c r="N55" s="11"/>
      <c r="O55" s="11"/>
      <c r="P55" s="54"/>
      <c r="Q55" s="39"/>
      <c r="R55" s="39"/>
      <c r="U55" s="41"/>
    </row>
    <row r="56" spans="1:21" s="40" customFormat="1">
      <c r="A56" s="33">
        <f>IF(H56&lt;&gt;"",1+MAX($A$5:A55),"")</f>
        <v>40</v>
      </c>
      <c r="B56" s="79"/>
      <c r="C56" s="69"/>
      <c r="D56" s="96" t="s">
        <v>129</v>
      </c>
      <c r="E56" s="109">
        <v>78.58</v>
      </c>
      <c r="F56" s="110"/>
      <c r="G56" s="111"/>
      <c r="H56" s="112" t="s">
        <v>4</v>
      </c>
      <c r="I56" s="19"/>
      <c r="J56" s="19"/>
      <c r="K56" s="31"/>
      <c r="L56" s="19"/>
      <c r="M56" s="32"/>
      <c r="N56" s="11"/>
      <c r="O56" s="11"/>
      <c r="P56" s="54"/>
      <c r="Q56" s="39"/>
      <c r="R56" s="39"/>
      <c r="U56" s="41"/>
    </row>
    <row r="57" spans="1:21" s="40" customFormat="1">
      <c r="A57" s="33">
        <f>IF(H57&lt;&gt;"",1+MAX($A$5:A56),"")</f>
        <v>41</v>
      </c>
      <c r="B57" s="79"/>
      <c r="C57" s="69"/>
      <c r="D57" s="27" t="s">
        <v>84</v>
      </c>
      <c r="E57" s="35">
        <f>(1*0.333*E56)/27</f>
        <v>0.96915333333333331</v>
      </c>
      <c r="F57" s="36">
        <v>0</v>
      </c>
      <c r="G57" s="37">
        <f t="shared" ref="G57:G62" si="37">(1+F57)*E57</f>
        <v>0.96915333333333331</v>
      </c>
      <c r="H57" s="38" t="s">
        <v>85</v>
      </c>
      <c r="I57" s="97">
        <v>0</v>
      </c>
      <c r="J57" s="97">
        <f t="shared" ref="J57:J62" si="38">I57*G57</f>
        <v>0</v>
      </c>
      <c r="K57" s="31">
        <v>0.78</v>
      </c>
      <c r="L57" s="19">
        <f t="shared" ref="L57:L62" si="39">$O$25</f>
        <v>42</v>
      </c>
      <c r="M57" s="32">
        <f t="shared" ref="M57:M62" si="40">K57*G57</f>
        <v>0.75593960000000004</v>
      </c>
      <c r="N57" s="11">
        <f t="shared" ref="N57:N62" si="41">M57*L57</f>
        <v>31.749463200000001</v>
      </c>
      <c r="O57" s="11">
        <f t="shared" ref="O57:O62" si="42">N57+J57</f>
        <v>31.749463200000001</v>
      </c>
      <c r="P57" s="54"/>
      <c r="Q57" s="39"/>
      <c r="R57" s="39"/>
      <c r="U57" s="41"/>
    </row>
    <row r="58" spans="1:21" s="40" customFormat="1">
      <c r="A58" s="33">
        <f>IF(H58&lt;&gt;"",1+MAX($A$5:A57),"")</f>
        <v>42</v>
      </c>
      <c r="B58" s="79"/>
      <c r="C58" s="69"/>
      <c r="D58" s="27" t="s">
        <v>86</v>
      </c>
      <c r="E58" s="35">
        <f>1*E56</f>
        <v>78.58</v>
      </c>
      <c r="F58" s="36">
        <v>0</v>
      </c>
      <c r="G58" s="37">
        <f t="shared" si="37"/>
        <v>78.58</v>
      </c>
      <c r="H58" s="38" t="s">
        <v>32</v>
      </c>
      <c r="I58" s="97">
        <v>0</v>
      </c>
      <c r="J58" s="97">
        <f t="shared" si="38"/>
        <v>0</v>
      </c>
      <c r="K58" s="31">
        <v>3.4000000000000002E-2</v>
      </c>
      <c r="L58" s="19">
        <f t="shared" si="39"/>
        <v>42</v>
      </c>
      <c r="M58" s="32">
        <f t="shared" si="40"/>
        <v>2.6717200000000001</v>
      </c>
      <c r="N58" s="11">
        <f t="shared" si="41"/>
        <v>112.21224000000001</v>
      </c>
      <c r="O58" s="11">
        <f t="shared" si="42"/>
        <v>112.21224000000001</v>
      </c>
      <c r="P58" s="54"/>
      <c r="Q58" s="39"/>
      <c r="R58" s="39"/>
      <c r="U58" s="41"/>
    </row>
    <row r="59" spans="1:21" s="40" customFormat="1">
      <c r="A59" s="33">
        <f>IF(H59&lt;&gt;"",1+MAX($A$5:A58),"")</f>
        <v>43</v>
      </c>
      <c r="B59" s="79"/>
      <c r="C59" s="69"/>
      <c r="D59" s="27" t="s">
        <v>87</v>
      </c>
      <c r="E59" s="35">
        <f>0.333*2*E56</f>
        <v>52.33428</v>
      </c>
      <c r="F59" s="36">
        <v>0.08</v>
      </c>
      <c r="G59" s="37">
        <f t="shared" si="37"/>
        <v>56.521022400000007</v>
      </c>
      <c r="H59" s="38" t="s">
        <v>32</v>
      </c>
      <c r="I59" s="19">
        <v>1.5773999999999999</v>
      </c>
      <c r="J59" s="19">
        <f t="shared" si="38"/>
        <v>89.156260733760007</v>
      </c>
      <c r="K59" s="31">
        <v>4.5499999999999999E-2</v>
      </c>
      <c r="L59" s="19">
        <f t="shared" si="39"/>
        <v>42</v>
      </c>
      <c r="M59" s="32">
        <f t="shared" si="40"/>
        <v>2.5717065192000002</v>
      </c>
      <c r="N59" s="11">
        <f t="shared" si="41"/>
        <v>108.01167380640001</v>
      </c>
      <c r="O59" s="11">
        <f t="shared" si="42"/>
        <v>197.16793454016002</v>
      </c>
      <c r="P59" s="54"/>
      <c r="Q59" s="39"/>
      <c r="R59" s="39"/>
      <c r="U59" s="41"/>
    </row>
    <row r="60" spans="1:21" s="40" customFormat="1">
      <c r="A60" s="33">
        <f>IF(H60&lt;&gt;"",1+MAX($A$5:A59),"")</f>
        <v>44</v>
      </c>
      <c r="B60" s="79"/>
      <c r="C60" s="69"/>
      <c r="D60" s="27" t="s">
        <v>88</v>
      </c>
      <c r="E60" s="35">
        <f>(0.6667*0.333*E56)/27</f>
        <v>0.64613452733333332</v>
      </c>
      <c r="F60" s="36">
        <v>0.05</v>
      </c>
      <c r="G60" s="37">
        <f t="shared" si="37"/>
        <v>0.67844125369999997</v>
      </c>
      <c r="H60" s="38" t="s">
        <v>85</v>
      </c>
      <c r="I60" s="19">
        <v>463.65999999999997</v>
      </c>
      <c r="J60" s="19">
        <f t="shared" si="38"/>
        <v>314.56607169054195</v>
      </c>
      <c r="K60" s="31">
        <v>1.85</v>
      </c>
      <c r="L60" s="19">
        <f t="shared" si="39"/>
        <v>42</v>
      </c>
      <c r="M60" s="32">
        <f t="shared" si="40"/>
        <v>1.2551163193449999</v>
      </c>
      <c r="N60" s="11">
        <f t="shared" si="41"/>
        <v>52.714885412489998</v>
      </c>
      <c r="O60" s="11">
        <f t="shared" si="42"/>
        <v>367.28095710303194</v>
      </c>
      <c r="P60" s="54"/>
      <c r="Q60" s="39"/>
      <c r="R60" s="39"/>
      <c r="U60" s="41"/>
    </row>
    <row r="61" spans="1:21" s="40" customFormat="1">
      <c r="A61" s="33">
        <f>IF(H61&lt;&gt;"",1+MAX($A$5:A60),"")</f>
        <v>45</v>
      </c>
      <c r="B61" s="79"/>
      <c r="C61" s="69"/>
      <c r="D61" s="27" t="s">
        <v>89</v>
      </c>
      <c r="E61" s="35">
        <f>E57-E60</f>
        <v>0.32301880599999999</v>
      </c>
      <c r="F61" s="36">
        <v>0</v>
      </c>
      <c r="G61" s="37">
        <f t="shared" si="37"/>
        <v>0.32301880599999999</v>
      </c>
      <c r="H61" s="38" t="s">
        <v>85</v>
      </c>
      <c r="I61" s="97">
        <v>0</v>
      </c>
      <c r="J61" s="97">
        <f t="shared" si="38"/>
        <v>0</v>
      </c>
      <c r="K61" s="31">
        <v>0.7</v>
      </c>
      <c r="L61" s="19">
        <f t="shared" si="39"/>
        <v>42</v>
      </c>
      <c r="M61" s="32">
        <f t="shared" si="40"/>
        <v>0.22611316419999997</v>
      </c>
      <c r="N61" s="11">
        <f t="shared" si="41"/>
        <v>9.4967528963999985</v>
      </c>
      <c r="O61" s="11">
        <f t="shared" si="42"/>
        <v>9.4967528963999985</v>
      </c>
      <c r="P61" s="54"/>
      <c r="Q61" s="39"/>
      <c r="R61" s="39"/>
      <c r="U61" s="41"/>
    </row>
    <row r="62" spans="1:21" s="40" customFormat="1">
      <c r="A62" s="33">
        <f>IF(H62&lt;&gt;"",1+MAX($A$5:A61),"")</f>
        <v>46</v>
      </c>
      <c r="B62" s="79"/>
      <c r="C62" s="69"/>
      <c r="D62" s="27" t="s">
        <v>90</v>
      </c>
      <c r="E62" s="35">
        <f>E60</f>
        <v>0.64613452733333332</v>
      </c>
      <c r="F62" s="36">
        <v>0</v>
      </c>
      <c r="G62" s="37">
        <f t="shared" si="37"/>
        <v>0.64613452733333332</v>
      </c>
      <c r="H62" s="38" t="s">
        <v>85</v>
      </c>
      <c r="I62" s="97">
        <v>0</v>
      </c>
      <c r="J62" s="97">
        <f t="shared" si="38"/>
        <v>0</v>
      </c>
      <c r="K62" s="31">
        <v>0.83</v>
      </c>
      <c r="L62" s="19">
        <f t="shared" si="39"/>
        <v>42</v>
      </c>
      <c r="M62" s="32">
        <f t="shared" si="40"/>
        <v>0.53629165768666665</v>
      </c>
      <c r="N62" s="11">
        <f t="shared" si="41"/>
        <v>22.524249622839999</v>
      </c>
      <c r="O62" s="11">
        <f t="shared" si="42"/>
        <v>22.524249622839999</v>
      </c>
      <c r="P62" s="54"/>
      <c r="Q62" s="39"/>
      <c r="R62" s="39"/>
      <c r="U62" s="41"/>
    </row>
    <row r="63" spans="1:21" s="40" customFormat="1">
      <c r="A63" s="33" t="str">
        <f>IF(H63&lt;&gt;"",1+MAX($A$5:A62),"")</f>
        <v/>
      </c>
      <c r="B63" s="79"/>
      <c r="C63" s="69"/>
      <c r="D63" s="27" t="s">
        <v>96</v>
      </c>
      <c r="E63" s="35"/>
      <c r="F63" s="36"/>
      <c r="G63" s="37"/>
      <c r="H63" s="38"/>
      <c r="I63" s="19"/>
      <c r="J63" s="19"/>
      <c r="K63" s="31"/>
      <c r="L63" s="19"/>
      <c r="M63" s="32"/>
      <c r="N63" s="11"/>
      <c r="O63" s="11"/>
      <c r="P63" s="54"/>
      <c r="Q63" s="39"/>
      <c r="R63" s="39"/>
      <c r="U63" s="41"/>
    </row>
    <row r="64" spans="1:21" s="40" customFormat="1">
      <c r="A64" s="33">
        <f>IF(H64&lt;&gt;"",1+MAX($A$5:A63),"")</f>
        <v>47</v>
      </c>
      <c r="B64" s="79"/>
      <c r="C64" s="69"/>
      <c r="D64" s="96" t="s">
        <v>130</v>
      </c>
      <c r="E64" s="109">
        <v>27.8</v>
      </c>
      <c r="F64" s="110"/>
      <c r="G64" s="111"/>
      <c r="H64" s="112" t="s">
        <v>4</v>
      </c>
      <c r="I64" s="19"/>
      <c r="J64" s="19"/>
      <c r="K64" s="31"/>
      <c r="L64" s="19"/>
      <c r="M64" s="32"/>
      <c r="N64" s="11"/>
      <c r="O64" s="11"/>
      <c r="P64" s="54"/>
      <c r="Q64" s="39"/>
      <c r="R64" s="39"/>
      <c r="U64" s="41"/>
    </row>
    <row r="65" spans="1:21" s="40" customFormat="1">
      <c r="A65" s="33">
        <f>IF(H65&lt;&gt;"",1+MAX($A$5:A64),"")</f>
        <v>48</v>
      </c>
      <c r="B65" s="79"/>
      <c r="C65" s="69"/>
      <c r="D65" s="27" t="s">
        <v>84</v>
      </c>
      <c r="E65" s="35">
        <f>(2*1.333*E64)/27</f>
        <v>2.7449925925925927</v>
      </c>
      <c r="F65" s="36">
        <v>0</v>
      </c>
      <c r="G65" s="37">
        <f t="shared" ref="G65:G70" si="43">(1+F65)*E65</f>
        <v>2.7449925925925927</v>
      </c>
      <c r="H65" s="38" t="s">
        <v>85</v>
      </c>
      <c r="I65" s="97">
        <v>0</v>
      </c>
      <c r="J65" s="97">
        <f t="shared" ref="J65:J70" si="44">I65*G65</f>
        <v>0</v>
      </c>
      <c r="K65" s="31">
        <v>0.78</v>
      </c>
      <c r="L65" s="19">
        <f t="shared" ref="L65:L70" si="45">$O$25</f>
        <v>42</v>
      </c>
      <c r="M65" s="32">
        <f t="shared" ref="M65:M70" si="46">K65*G65</f>
        <v>2.1410942222222222</v>
      </c>
      <c r="N65" s="11">
        <f t="shared" ref="N65:N70" si="47">M65*L65</f>
        <v>89.925957333333329</v>
      </c>
      <c r="O65" s="11">
        <f t="shared" ref="O65:O70" si="48">N65+J65</f>
        <v>89.925957333333329</v>
      </c>
      <c r="P65" s="54"/>
      <c r="Q65" s="39"/>
      <c r="R65" s="39"/>
      <c r="U65" s="41"/>
    </row>
    <row r="66" spans="1:21" s="40" customFormat="1">
      <c r="A66" s="33">
        <f>IF(H66&lt;&gt;"",1+MAX($A$5:A65),"")</f>
        <v>49</v>
      </c>
      <c r="B66" s="79"/>
      <c r="C66" s="69"/>
      <c r="D66" s="27" t="s">
        <v>86</v>
      </c>
      <c r="E66" s="35">
        <f>2*E64</f>
        <v>55.6</v>
      </c>
      <c r="F66" s="36">
        <v>0</v>
      </c>
      <c r="G66" s="37">
        <f t="shared" si="43"/>
        <v>55.6</v>
      </c>
      <c r="H66" s="38" t="s">
        <v>32</v>
      </c>
      <c r="I66" s="97">
        <v>0</v>
      </c>
      <c r="J66" s="97">
        <f t="shared" si="44"/>
        <v>0</v>
      </c>
      <c r="K66" s="31">
        <v>3.4000000000000002E-2</v>
      </c>
      <c r="L66" s="19">
        <f t="shared" si="45"/>
        <v>42</v>
      </c>
      <c r="M66" s="32">
        <f t="shared" si="46"/>
        <v>1.8904000000000001</v>
      </c>
      <c r="N66" s="11">
        <f t="shared" si="47"/>
        <v>79.396799999999999</v>
      </c>
      <c r="O66" s="11">
        <f t="shared" si="48"/>
        <v>79.396799999999999</v>
      </c>
      <c r="P66" s="54"/>
      <c r="Q66" s="39"/>
      <c r="R66" s="39"/>
      <c r="U66" s="41"/>
    </row>
    <row r="67" spans="1:21" s="40" customFormat="1">
      <c r="A67" s="33">
        <f>IF(H67&lt;&gt;"",1+MAX($A$5:A66),"")</f>
        <v>50</v>
      </c>
      <c r="B67" s="79"/>
      <c r="C67" s="69"/>
      <c r="D67" s="27" t="s">
        <v>87</v>
      </c>
      <c r="E67" s="35">
        <f>1.333*2*E64</f>
        <v>74.114800000000002</v>
      </c>
      <c r="F67" s="36">
        <v>0.08</v>
      </c>
      <c r="G67" s="37">
        <f t="shared" si="43"/>
        <v>80.043984000000009</v>
      </c>
      <c r="H67" s="38" t="s">
        <v>32</v>
      </c>
      <c r="I67" s="19">
        <v>1.5773999999999999</v>
      </c>
      <c r="J67" s="19">
        <f t="shared" si="44"/>
        <v>126.2613803616</v>
      </c>
      <c r="K67" s="31">
        <v>4.5499999999999999E-2</v>
      </c>
      <c r="L67" s="19">
        <f t="shared" si="45"/>
        <v>42</v>
      </c>
      <c r="M67" s="32">
        <f t="shared" si="46"/>
        <v>3.6420012720000003</v>
      </c>
      <c r="N67" s="11">
        <f t="shared" si="47"/>
        <v>152.96405342400001</v>
      </c>
      <c r="O67" s="11">
        <f t="shared" si="48"/>
        <v>279.22543378559999</v>
      </c>
      <c r="P67" s="54"/>
      <c r="Q67" s="39"/>
      <c r="R67" s="39"/>
      <c r="U67" s="41"/>
    </row>
    <row r="68" spans="1:21" s="40" customFormat="1">
      <c r="A68" s="33">
        <f>IF(H68&lt;&gt;"",1+MAX($A$5:A67),"")</f>
        <v>51</v>
      </c>
      <c r="B68" s="79"/>
      <c r="C68" s="69"/>
      <c r="D68" s="27" t="s">
        <v>88</v>
      </c>
      <c r="E68" s="35">
        <f>(1.333*1.333*E64)/27</f>
        <v>1.8295375629629629</v>
      </c>
      <c r="F68" s="36">
        <v>0.05</v>
      </c>
      <c r="G68" s="37">
        <f t="shared" si="43"/>
        <v>1.9210144411111112</v>
      </c>
      <c r="H68" s="38" t="s">
        <v>85</v>
      </c>
      <c r="I68" s="19">
        <v>463.65999999999997</v>
      </c>
      <c r="J68" s="19">
        <f t="shared" si="44"/>
        <v>890.6975557655777</v>
      </c>
      <c r="K68" s="31">
        <v>1.85</v>
      </c>
      <c r="L68" s="19">
        <f t="shared" si="45"/>
        <v>42</v>
      </c>
      <c r="M68" s="32">
        <f t="shared" si="46"/>
        <v>3.553876716055556</v>
      </c>
      <c r="N68" s="11">
        <f t="shared" si="47"/>
        <v>149.26282207433334</v>
      </c>
      <c r="O68" s="11">
        <f t="shared" si="48"/>
        <v>1039.960377839911</v>
      </c>
      <c r="P68" s="54"/>
      <c r="Q68" s="39"/>
      <c r="R68" s="39"/>
      <c r="U68" s="41"/>
    </row>
    <row r="69" spans="1:21" s="40" customFormat="1">
      <c r="A69" s="33">
        <f>IF(H69&lt;&gt;"",1+MAX($A$5:A68),"")</f>
        <v>52</v>
      </c>
      <c r="B69" s="79"/>
      <c r="C69" s="69"/>
      <c r="D69" s="27" t="s">
        <v>89</v>
      </c>
      <c r="E69" s="35">
        <f>E65-E68</f>
        <v>0.91545502962962977</v>
      </c>
      <c r="F69" s="36">
        <v>0</v>
      </c>
      <c r="G69" s="37">
        <f t="shared" si="43"/>
        <v>0.91545502962962977</v>
      </c>
      <c r="H69" s="38" t="s">
        <v>85</v>
      </c>
      <c r="I69" s="97">
        <v>0</v>
      </c>
      <c r="J69" s="97">
        <f t="shared" si="44"/>
        <v>0</v>
      </c>
      <c r="K69" s="31">
        <v>0.7</v>
      </c>
      <c r="L69" s="19">
        <f t="shared" si="45"/>
        <v>42</v>
      </c>
      <c r="M69" s="32">
        <f t="shared" si="46"/>
        <v>0.64081852074074075</v>
      </c>
      <c r="N69" s="11">
        <f t="shared" si="47"/>
        <v>26.91437787111111</v>
      </c>
      <c r="O69" s="11">
        <f t="shared" si="48"/>
        <v>26.91437787111111</v>
      </c>
      <c r="P69" s="54"/>
      <c r="Q69" s="39"/>
      <c r="R69" s="39"/>
      <c r="U69" s="41"/>
    </row>
    <row r="70" spans="1:21" s="40" customFormat="1">
      <c r="A70" s="33">
        <f>IF(H70&lt;&gt;"",1+MAX($A$5:A69),"")</f>
        <v>53</v>
      </c>
      <c r="B70" s="79"/>
      <c r="C70" s="69"/>
      <c r="D70" s="27" t="s">
        <v>90</v>
      </c>
      <c r="E70" s="35">
        <f>E68</f>
        <v>1.8295375629629629</v>
      </c>
      <c r="F70" s="36">
        <v>0</v>
      </c>
      <c r="G70" s="37">
        <f t="shared" si="43"/>
        <v>1.8295375629629629</v>
      </c>
      <c r="H70" s="38" t="s">
        <v>85</v>
      </c>
      <c r="I70" s="97">
        <v>0</v>
      </c>
      <c r="J70" s="97">
        <f t="shared" si="44"/>
        <v>0</v>
      </c>
      <c r="K70" s="31">
        <v>0.83</v>
      </c>
      <c r="L70" s="19">
        <f t="shared" si="45"/>
        <v>42</v>
      </c>
      <c r="M70" s="32">
        <f t="shared" si="46"/>
        <v>1.518516177259259</v>
      </c>
      <c r="N70" s="11">
        <f t="shared" si="47"/>
        <v>63.777679444888882</v>
      </c>
      <c r="O70" s="11">
        <f t="shared" si="48"/>
        <v>63.777679444888882</v>
      </c>
      <c r="P70" s="54"/>
      <c r="Q70" s="39"/>
      <c r="R70" s="39"/>
      <c r="U70" s="41"/>
    </row>
    <row r="71" spans="1:21" s="40" customFormat="1">
      <c r="A71" s="33" t="str">
        <f>IF(H71&lt;&gt;"",1+MAX($A$5:A70),"")</f>
        <v/>
      </c>
      <c r="B71" s="79"/>
      <c r="C71" s="69"/>
      <c r="D71" s="27" t="s">
        <v>96</v>
      </c>
      <c r="E71" s="35"/>
      <c r="F71" s="36"/>
      <c r="G71" s="37"/>
      <c r="H71" s="38"/>
      <c r="I71" s="19"/>
      <c r="J71" s="19"/>
      <c r="K71" s="31"/>
      <c r="L71" s="19"/>
      <c r="M71" s="32"/>
      <c r="N71" s="11"/>
      <c r="O71" s="11"/>
      <c r="P71" s="54"/>
      <c r="Q71" s="39"/>
      <c r="R71" s="39"/>
      <c r="U71" s="41"/>
    </row>
    <row r="72" spans="1:21" s="40" customFormat="1">
      <c r="A72" s="33">
        <f>IF(H72&lt;&gt;"",1+MAX($A$5:A71),"")</f>
        <v>54</v>
      </c>
      <c r="B72" s="79"/>
      <c r="C72" s="69"/>
      <c r="D72" s="96" t="s">
        <v>131</v>
      </c>
      <c r="E72" s="109">
        <v>8.57</v>
      </c>
      <c r="F72" s="110"/>
      <c r="G72" s="111"/>
      <c r="H72" s="112" t="s">
        <v>4</v>
      </c>
      <c r="I72" s="19"/>
      <c r="J72" s="19"/>
      <c r="K72" s="31"/>
      <c r="L72" s="19"/>
      <c r="M72" s="32"/>
      <c r="N72" s="11"/>
      <c r="O72" s="11"/>
      <c r="P72" s="54"/>
      <c r="Q72" s="39"/>
      <c r="R72" s="39"/>
      <c r="U72" s="41"/>
    </row>
    <row r="73" spans="1:21" s="40" customFormat="1">
      <c r="A73" s="33">
        <f>IF(H73&lt;&gt;"",1+MAX($A$5:A72),"")</f>
        <v>55</v>
      </c>
      <c r="B73" s="79"/>
      <c r="C73" s="69"/>
      <c r="D73" s="27" t="s">
        <v>88</v>
      </c>
      <c r="E73" s="35">
        <f>(0.6667*0.333*E72)/27</f>
        <v>7.0467967666666659E-2</v>
      </c>
      <c r="F73" s="36">
        <v>0.05</v>
      </c>
      <c r="G73" s="37">
        <f>(1+F73)*E73</f>
        <v>7.3991366049999993E-2</v>
      </c>
      <c r="H73" s="38" t="s">
        <v>85</v>
      </c>
      <c r="I73" s="19">
        <v>463.65999999999997</v>
      </c>
      <c r="J73" s="19">
        <f t="shared" ref="J73" si="49">I73*G73</f>
        <v>34.306836782742991</v>
      </c>
      <c r="K73" s="31">
        <v>1.85</v>
      </c>
      <c r="L73" s="19">
        <f t="shared" ref="L73" si="50">$O$25</f>
        <v>42</v>
      </c>
      <c r="M73" s="32">
        <f t="shared" ref="M73" si="51">K73*G73</f>
        <v>0.13688402719250001</v>
      </c>
      <c r="N73" s="11">
        <f t="shared" ref="N73" si="52">M73*L73</f>
        <v>5.7491291420850006</v>
      </c>
      <c r="O73" s="11">
        <f t="shared" ref="O73" si="53">N73+J73</f>
        <v>40.055965924827994</v>
      </c>
      <c r="P73" s="54"/>
      <c r="Q73" s="39"/>
      <c r="R73" s="39"/>
      <c r="U73" s="41"/>
    </row>
    <row r="74" spans="1:21" s="40" customFormat="1">
      <c r="A74" s="33" t="str">
        <f>IF(H74&lt;&gt;"",1+MAX($A$5:A73),"")</f>
        <v/>
      </c>
      <c r="B74" s="79"/>
      <c r="C74" s="69"/>
      <c r="D74" s="27" t="s">
        <v>96</v>
      </c>
      <c r="E74" s="35"/>
      <c r="F74" s="36"/>
      <c r="G74" s="37"/>
      <c r="H74" s="38"/>
      <c r="I74" s="19"/>
      <c r="J74" s="19"/>
      <c r="K74" s="31"/>
      <c r="L74" s="19"/>
      <c r="M74" s="32"/>
      <c r="N74" s="11"/>
      <c r="O74" s="11"/>
      <c r="P74" s="54"/>
      <c r="Q74" s="39"/>
      <c r="R74" s="39"/>
      <c r="U74" s="41"/>
    </row>
    <row r="75" spans="1:21" s="40" customFormat="1">
      <c r="A75" s="33">
        <f>IF(H75&lt;&gt;"",1+MAX($A$5:A74),"")</f>
        <v>56</v>
      </c>
      <c r="B75" s="79"/>
      <c r="C75" s="69"/>
      <c r="D75" s="96" t="s">
        <v>132</v>
      </c>
      <c r="E75" s="109">
        <v>8.23</v>
      </c>
      <c r="F75" s="110"/>
      <c r="G75" s="111"/>
      <c r="H75" s="112" t="s">
        <v>4</v>
      </c>
      <c r="I75" s="19"/>
      <c r="J75" s="19"/>
      <c r="K75" s="31"/>
      <c r="L75" s="19"/>
      <c r="M75" s="32"/>
      <c r="N75" s="11"/>
      <c r="O75" s="11"/>
      <c r="P75" s="54"/>
      <c r="Q75" s="39"/>
      <c r="R75" s="39"/>
      <c r="U75" s="41"/>
    </row>
    <row r="76" spans="1:21" s="40" customFormat="1">
      <c r="A76" s="33">
        <f>IF(H76&lt;&gt;"",1+MAX($A$5:A75),"")</f>
        <v>57</v>
      </c>
      <c r="B76" s="79"/>
      <c r="C76" s="69"/>
      <c r="D76" s="27" t="s">
        <v>84</v>
      </c>
      <c r="E76" s="35">
        <f>(2*1.5*E75)/27</f>
        <v>0.9144444444444445</v>
      </c>
      <c r="F76" s="36">
        <v>0</v>
      </c>
      <c r="G76" s="37">
        <f t="shared" ref="G76:G81" si="54">(1+F76)*E76</f>
        <v>0.9144444444444445</v>
      </c>
      <c r="H76" s="38" t="s">
        <v>85</v>
      </c>
      <c r="I76" s="97">
        <v>0</v>
      </c>
      <c r="J76" s="97">
        <f t="shared" ref="J76:J81" si="55">I76*G76</f>
        <v>0</v>
      </c>
      <c r="K76" s="31">
        <v>0.78</v>
      </c>
      <c r="L76" s="19">
        <f t="shared" ref="L76:L81" si="56">$O$25</f>
        <v>42</v>
      </c>
      <c r="M76" s="32">
        <f t="shared" ref="M76:M81" si="57">K76*G76</f>
        <v>0.71326666666666672</v>
      </c>
      <c r="N76" s="11">
        <f t="shared" ref="N76:N81" si="58">M76*L76</f>
        <v>29.9572</v>
      </c>
      <c r="O76" s="11">
        <f t="shared" ref="O76:O81" si="59">N76+J76</f>
        <v>29.9572</v>
      </c>
      <c r="P76" s="54"/>
      <c r="Q76" s="39"/>
      <c r="R76" s="39"/>
      <c r="U76" s="41"/>
    </row>
    <row r="77" spans="1:21" s="40" customFormat="1">
      <c r="A77" s="33">
        <f>IF(H77&lt;&gt;"",1+MAX($A$5:A76),"")</f>
        <v>58</v>
      </c>
      <c r="B77" s="79"/>
      <c r="C77" s="69"/>
      <c r="D77" s="27" t="s">
        <v>86</v>
      </c>
      <c r="E77" s="35">
        <f>2*E75</f>
        <v>16.46</v>
      </c>
      <c r="F77" s="36">
        <v>0</v>
      </c>
      <c r="G77" s="37">
        <f t="shared" si="54"/>
        <v>16.46</v>
      </c>
      <c r="H77" s="38" t="s">
        <v>32</v>
      </c>
      <c r="I77" s="97">
        <v>0</v>
      </c>
      <c r="J77" s="97">
        <f t="shared" si="55"/>
        <v>0</v>
      </c>
      <c r="K77" s="31">
        <v>3.4000000000000002E-2</v>
      </c>
      <c r="L77" s="19">
        <f t="shared" si="56"/>
        <v>42</v>
      </c>
      <c r="M77" s="32">
        <f t="shared" si="57"/>
        <v>0.55964000000000003</v>
      </c>
      <c r="N77" s="11">
        <f t="shared" si="58"/>
        <v>23.50488</v>
      </c>
      <c r="O77" s="11">
        <f t="shared" si="59"/>
        <v>23.50488</v>
      </c>
      <c r="P77" s="54"/>
      <c r="Q77" s="39"/>
      <c r="R77" s="39"/>
      <c r="U77" s="41"/>
    </row>
    <row r="78" spans="1:21" s="40" customFormat="1">
      <c r="A78" s="33">
        <f>IF(H78&lt;&gt;"",1+MAX($A$5:A77),"")</f>
        <v>59</v>
      </c>
      <c r="B78" s="79"/>
      <c r="C78" s="69"/>
      <c r="D78" s="27" t="s">
        <v>87</v>
      </c>
      <c r="E78" s="35">
        <f>1.333*1.5*E75</f>
        <v>16.455884999999999</v>
      </c>
      <c r="F78" s="36">
        <v>0.08</v>
      </c>
      <c r="G78" s="37">
        <f t="shared" si="54"/>
        <v>17.7723558</v>
      </c>
      <c r="H78" s="38" t="s">
        <v>32</v>
      </c>
      <c r="I78" s="19">
        <v>1.5773999999999999</v>
      </c>
      <c r="J78" s="19">
        <f t="shared" si="55"/>
        <v>28.034114038919999</v>
      </c>
      <c r="K78" s="31">
        <v>4.5499999999999999E-2</v>
      </c>
      <c r="L78" s="19">
        <f t="shared" si="56"/>
        <v>42</v>
      </c>
      <c r="M78" s="32">
        <f t="shared" si="57"/>
        <v>0.80864218889999995</v>
      </c>
      <c r="N78" s="11">
        <f t="shared" si="58"/>
        <v>33.962971933799999</v>
      </c>
      <c r="O78" s="11">
        <f t="shared" si="59"/>
        <v>61.997085972720001</v>
      </c>
      <c r="P78" s="54"/>
      <c r="Q78" s="39"/>
      <c r="R78" s="39"/>
      <c r="U78" s="41"/>
    </row>
    <row r="79" spans="1:21" s="40" customFormat="1">
      <c r="A79" s="33">
        <f>IF(H79&lt;&gt;"",1+MAX($A$5:A78),"")</f>
        <v>60</v>
      </c>
      <c r="B79" s="79"/>
      <c r="C79" s="69"/>
      <c r="D79" s="27" t="s">
        <v>88</v>
      </c>
      <c r="E79" s="35">
        <f>(1.333*1.5*E75)/27</f>
        <v>0.60947722222222211</v>
      </c>
      <c r="F79" s="36">
        <v>0.05</v>
      </c>
      <c r="G79" s="37">
        <f t="shared" si="54"/>
        <v>0.63995108333333328</v>
      </c>
      <c r="H79" s="38" t="s">
        <v>85</v>
      </c>
      <c r="I79" s="19">
        <v>463.65999999999997</v>
      </c>
      <c r="J79" s="19">
        <f t="shared" si="55"/>
        <v>296.7197192983333</v>
      </c>
      <c r="K79" s="31">
        <v>1.85</v>
      </c>
      <c r="L79" s="19">
        <f t="shared" si="56"/>
        <v>42</v>
      </c>
      <c r="M79" s="32">
        <f t="shared" si="57"/>
        <v>1.1839095041666667</v>
      </c>
      <c r="N79" s="11">
        <f t="shared" si="58"/>
        <v>49.724199175000003</v>
      </c>
      <c r="O79" s="11">
        <f t="shared" si="59"/>
        <v>346.44391847333333</v>
      </c>
      <c r="P79" s="54"/>
      <c r="Q79" s="39"/>
      <c r="R79" s="39"/>
      <c r="U79" s="41"/>
    </row>
    <row r="80" spans="1:21" s="40" customFormat="1">
      <c r="A80" s="33">
        <f>IF(H80&lt;&gt;"",1+MAX($A$5:A79),"")</f>
        <v>61</v>
      </c>
      <c r="B80" s="79"/>
      <c r="C80" s="69"/>
      <c r="D80" s="27" t="s">
        <v>89</v>
      </c>
      <c r="E80" s="35">
        <f>E76-E79</f>
        <v>0.30496722222222239</v>
      </c>
      <c r="F80" s="36">
        <v>0</v>
      </c>
      <c r="G80" s="37">
        <f t="shared" si="54"/>
        <v>0.30496722222222239</v>
      </c>
      <c r="H80" s="38" t="s">
        <v>85</v>
      </c>
      <c r="I80" s="97">
        <v>0</v>
      </c>
      <c r="J80" s="97">
        <f t="shared" si="55"/>
        <v>0</v>
      </c>
      <c r="K80" s="31">
        <v>0.7</v>
      </c>
      <c r="L80" s="19">
        <f t="shared" si="56"/>
        <v>42</v>
      </c>
      <c r="M80" s="32">
        <f t="shared" si="57"/>
        <v>0.21347705555555566</v>
      </c>
      <c r="N80" s="11">
        <f t="shared" si="58"/>
        <v>8.9660363333333368</v>
      </c>
      <c r="O80" s="11">
        <f t="shared" si="59"/>
        <v>8.9660363333333368</v>
      </c>
      <c r="P80" s="54"/>
      <c r="Q80" s="39"/>
      <c r="R80" s="39"/>
      <c r="U80" s="41"/>
    </row>
    <row r="81" spans="1:21" s="40" customFormat="1">
      <c r="A81" s="33">
        <f>IF(H81&lt;&gt;"",1+MAX($A$5:A80),"")</f>
        <v>62</v>
      </c>
      <c r="B81" s="79"/>
      <c r="C81" s="69"/>
      <c r="D81" s="27" t="s">
        <v>90</v>
      </c>
      <c r="E81" s="35">
        <f>E79</f>
        <v>0.60947722222222211</v>
      </c>
      <c r="F81" s="36">
        <v>0</v>
      </c>
      <c r="G81" s="37">
        <f t="shared" si="54"/>
        <v>0.60947722222222211</v>
      </c>
      <c r="H81" s="38" t="s">
        <v>85</v>
      </c>
      <c r="I81" s="97">
        <v>0</v>
      </c>
      <c r="J81" s="97">
        <f t="shared" si="55"/>
        <v>0</v>
      </c>
      <c r="K81" s="31">
        <v>0.83</v>
      </c>
      <c r="L81" s="19">
        <f t="shared" si="56"/>
        <v>42</v>
      </c>
      <c r="M81" s="32">
        <f t="shared" si="57"/>
        <v>0.5058660944444443</v>
      </c>
      <c r="N81" s="11">
        <f t="shared" si="58"/>
        <v>21.246375966666662</v>
      </c>
      <c r="O81" s="11">
        <f t="shared" si="59"/>
        <v>21.246375966666662</v>
      </c>
      <c r="P81" s="54"/>
      <c r="Q81" s="39"/>
      <c r="R81" s="39"/>
      <c r="U81" s="41"/>
    </row>
    <row r="82" spans="1:21" s="40" customFormat="1">
      <c r="A82" s="33" t="str">
        <f>IF(H82&lt;&gt;"",1+MAX($A$5:A81),"")</f>
        <v/>
      </c>
      <c r="B82" s="79"/>
      <c r="C82" s="69"/>
      <c r="D82" s="27" t="s">
        <v>96</v>
      </c>
      <c r="E82" s="35"/>
      <c r="F82" s="36"/>
      <c r="G82" s="37"/>
      <c r="H82" s="38"/>
      <c r="I82" s="19"/>
      <c r="J82" s="19"/>
      <c r="K82" s="31"/>
      <c r="L82" s="19"/>
      <c r="M82" s="32"/>
      <c r="N82" s="11"/>
      <c r="O82" s="11"/>
      <c r="P82" s="54"/>
      <c r="Q82" s="39"/>
      <c r="R82" s="39"/>
      <c r="U82" s="41"/>
    </row>
    <row r="83" spans="1:21" s="40" customFormat="1">
      <c r="A83" s="33">
        <f>IF(H83&lt;&gt;"",1+MAX($A$5:A82),"")</f>
        <v>63</v>
      </c>
      <c r="B83" s="79"/>
      <c r="C83" s="69"/>
      <c r="D83" s="96" t="s">
        <v>133</v>
      </c>
      <c r="E83" s="109">
        <v>18.55</v>
      </c>
      <c r="F83" s="110"/>
      <c r="G83" s="111"/>
      <c r="H83" s="112" t="s">
        <v>4</v>
      </c>
      <c r="I83" s="19"/>
      <c r="J83" s="19"/>
      <c r="K83" s="31"/>
      <c r="L83" s="19"/>
      <c r="M83" s="32"/>
      <c r="N83" s="11"/>
      <c r="O83" s="11"/>
      <c r="P83" s="54"/>
      <c r="Q83" s="39"/>
      <c r="R83" s="39"/>
      <c r="U83" s="41"/>
    </row>
    <row r="84" spans="1:21" s="40" customFormat="1">
      <c r="A84" s="33">
        <f>IF(H84&lt;&gt;"",1+MAX($A$5:A83),"")</f>
        <v>64</v>
      </c>
      <c r="B84" s="79"/>
      <c r="C84" s="69"/>
      <c r="D84" s="27" t="s">
        <v>84</v>
      </c>
      <c r="E84" s="35">
        <f>(2*1.5*E83)/27</f>
        <v>2.0611111111111113</v>
      </c>
      <c r="F84" s="36">
        <v>0</v>
      </c>
      <c r="G84" s="37">
        <f t="shared" ref="G84:G89" si="60">(1+F84)*E84</f>
        <v>2.0611111111111113</v>
      </c>
      <c r="H84" s="38" t="s">
        <v>85</v>
      </c>
      <c r="I84" s="97">
        <v>0</v>
      </c>
      <c r="J84" s="97">
        <f t="shared" ref="J84:J89" si="61">I84*G84</f>
        <v>0</v>
      </c>
      <c r="K84" s="31">
        <v>0.78</v>
      </c>
      <c r="L84" s="19">
        <f t="shared" ref="L84:L89" si="62">$O$25</f>
        <v>42</v>
      </c>
      <c r="M84" s="32">
        <f t="shared" ref="M84:M89" si="63">K84*G84</f>
        <v>1.6076666666666668</v>
      </c>
      <c r="N84" s="11">
        <f t="shared" ref="N84:N89" si="64">M84*L84</f>
        <v>67.522000000000006</v>
      </c>
      <c r="O84" s="11">
        <f t="shared" ref="O84:O89" si="65">N84+J84</f>
        <v>67.522000000000006</v>
      </c>
      <c r="P84" s="54"/>
      <c r="Q84" s="39"/>
      <c r="R84" s="39"/>
      <c r="U84" s="41"/>
    </row>
    <row r="85" spans="1:21" s="40" customFormat="1">
      <c r="A85" s="33">
        <f>IF(H85&lt;&gt;"",1+MAX($A$5:A84),"")</f>
        <v>65</v>
      </c>
      <c r="B85" s="79"/>
      <c r="C85" s="69"/>
      <c r="D85" s="27" t="s">
        <v>86</v>
      </c>
      <c r="E85" s="35">
        <f>2*E83</f>
        <v>37.1</v>
      </c>
      <c r="F85" s="36">
        <v>0</v>
      </c>
      <c r="G85" s="37">
        <f t="shared" si="60"/>
        <v>37.1</v>
      </c>
      <c r="H85" s="38" t="s">
        <v>32</v>
      </c>
      <c r="I85" s="97">
        <v>0</v>
      </c>
      <c r="J85" s="97">
        <f t="shared" si="61"/>
        <v>0</v>
      </c>
      <c r="K85" s="31">
        <v>3.4000000000000002E-2</v>
      </c>
      <c r="L85" s="19">
        <f t="shared" si="62"/>
        <v>42</v>
      </c>
      <c r="M85" s="32">
        <f t="shared" si="63"/>
        <v>1.2614000000000001</v>
      </c>
      <c r="N85" s="11">
        <f t="shared" si="64"/>
        <v>52.978800000000007</v>
      </c>
      <c r="O85" s="11">
        <f t="shared" si="65"/>
        <v>52.978800000000007</v>
      </c>
      <c r="P85" s="54"/>
      <c r="Q85" s="39"/>
      <c r="R85" s="39"/>
      <c r="U85" s="41"/>
    </row>
    <row r="86" spans="1:21" s="40" customFormat="1">
      <c r="A86" s="33">
        <f>IF(H86&lt;&gt;"",1+MAX($A$5:A85),"")</f>
        <v>66</v>
      </c>
      <c r="B86" s="79"/>
      <c r="C86" s="69"/>
      <c r="D86" s="27" t="s">
        <v>87</v>
      </c>
      <c r="E86" s="35">
        <f>1.5*1.5*E83</f>
        <v>41.737500000000004</v>
      </c>
      <c r="F86" s="36">
        <v>0.08</v>
      </c>
      <c r="G86" s="37">
        <f t="shared" si="60"/>
        <v>45.07650000000001</v>
      </c>
      <c r="H86" s="38" t="s">
        <v>32</v>
      </c>
      <c r="I86" s="19">
        <v>1.5773999999999999</v>
      </c>
      <c r="J86" s="19">
        <f t="shared" si="61"/>
        <v>71.103671100000014</v>
      </c>
      <c r="K86" s="31">
        <v>4.5499999999999999E-2</v>
      </c>
      <c r="L86" s="19">
        <f t="shared" si="62"/>
        <v>42</v>
      </c>
      <c r="M86" s="32">
        <f t="shared" si="63"/>
        <v>2.0509807500000004</v>
      </c>
      <c r="N86" s="11">
        <f t="shared" si="64"/>
        <v>86.141191500000019</v>
      </c>
      <c r="O86" s="11">
        <f t="shared" si="65"/>
        <v>157.24486260000003</v>
      </c>
      <c r="P86" s="54"/>
      <c r="Q86" s="39"/>
      <c r="R86" s="39"/>
      <c r="U86" s="41"/>
    </row>
    <row r="87" spans="1:21" s="40" customFormat="1">
      <c r="A87" s="33">
        <f>IF(H87&lt;&gt;"",1+MAX($A$5:A86),"")</f>
        <v>67</v>
      </c>
      <c r="B87" s="79"/>
      <c r="C87" s="69"/>
      <c r="D87" s="27" t="s">
        <v>88</v>
      </c>
      <c r="E87" s="35">
        <f>(1.5*1.5*E83)/27</f>
        <v>1.5458333333333334</v>
      </c>
      <c r="F87" s="36">
        <v>0.05</v>
      </c>
      <c r="G87" s="37">
        <f t="shared" si="60"/>
        <v>1.6231250000000002</v>
      </c>
      <c r="H87" s="38" t="s">
        <v>85</v>
      </c>
      <c r="I87" s="19">
        <v>463.65999999999997</v>
      </c>
      <c r="J87" s="19">
        <f t="shared" si="61"/>
        <v>752.57813750000003</v>
      </c>
      <c r="K87" s="31">
        <v>1.85</v>
      </c>
      <c r="L87" s="19">
        <f t="shared" si="62"/>
        <v>42</v>
      </c>
      <c r="M87" s="32">
        <f t="shared" si="63"/>
        <v>3.0027812500000004</v>
      </c>
      <c r="N87" s="11">
        <f t="shared" si="64"/>
        <v>126.11681250000002</v>
      </c>
      <c r="O87" s="11">
        <f t="shared" si="65"/>
        <v>878.69495000000006</v>
      </c>
      <c r="P87" s="54"/>
      <c r="Q87" s="39"/>
      <c r="R87" s="39"/>
      <c r="U87" s="41"/>
    </row>
    <row r="88" spans="1:21" s="40" customFormat="1">
      <c r="A88" s="33">
        <f>IF(H88&lt;&gt;"",1+MAX($A$5:A87),"")</f>
        <v>68</v>
      </c>
      <c r="B88" s="79"/>
      <c r="C88" s="69"/>
      <c r="D88" s="27" t="s">
        <v>89</v>
      </c>
      <c r="E88" s="35">
        <f>E84-E87</f>
        <v>0.51527777777777795</v>
      </c>
      <c r="F88" s="36">
        <v>0</v>
      </c>
      <c r="G88" s="37">
        <f t="shared" si="60"/>
        <v>0.51527777777777795</v>
      </c>
      <c r="H88" s="38" t="s">
        <v>85</v>
      </c>
      <c r="I88" s="97">
        <v>0</v>
      </c>
      <c r="J88" s="97">
        <f t="shared" si="61"/>
        <v>0</v>
      </c>
      <c r="K88" s="31">
        <v>0.7</v>
      </c>
      <c r="L88" s="19">
        <f t="shared" si="62"/>
        <v>42</v>
      </c>
      <c r="M88" s="32">
        <f t="shared" si="63"/>
        <v>0.36069444444444454</v>
      </c>
      <c r="N88" s="11">
        <f t="shared" si="64"/>
        <v>15.149166666666671</v>
      </c>
      <c r="O88" s="11">
        <f t="shared" si="65"/>
        <v>15.149166666666671</v>
      </c>
      <c r="P88" s="54"/>
      <c r="Q88" s="39"/>
      <c r="R88" s="39"/>
      <c r="U88" s="41"/>
    </row>
    <row r="89" spans="1:21" s="40" customFormat="1">
      <c r="A89" s="33">
        <f>IF(H89&lt;&gt;"",1+MAX($A$5:A88),"")</f>
        <v>69</v>
      </c>
      <c r="B89" s="79"/>
      <c r="C89" s="69"/>
      <c r="D89" s="27" t="s">
        <v>90</v>
      </c>
      <c r="E89" s="35">
        <f>E87</f>
        <v>1.5458333333333334</v>
      </c>
      <c r="F89" s="36">
        <v>0</v>
      </c>
      <c r="G89" s="37">
        <f t="shared" si="60"/>
        <v>1.5458333333333334</v>
      </c>
      <c r="H89" s="38" t="s">
        <v>85</v>
      </c>
      <c r="I89" s="97">
        <v>0</v>
      </c>
      <c r="J89" s="97">
        <f t="shared" si="61"/>
        <v>0</v>
      </c>
      <c r="K89" s="31">
        <v>0.83</v>
      </c>
      <c r="L89" s="19">
        <f t="shared" si="62"/>
        <v>42</v>
      </c>
      <c r="M89" s="32">
        <f t="shared" si="63"/>
        <v>1.2830416666666666</v>
      </c>
      <c r="N89" s="11">
        <f t="shared" si="64"/>
        <v>53.887749999999997</v>
      </c>
      <c r="O89" s="11">
        <f t="shared" si="65"/>
        <v>53.887749999999997</v>
      </c>
      <c r="P89" s="54"/>
      <c r="Q89" s="39"/>
      <c r="R89" s="39"/>
      <c r="U89" s="41"/>
    </row>
    <row r="90" spans="1:21" s="40" customFormat="1">
      <c r="A90" s="33" t="str">
        <f>IF(H90&lt;&gt;"",1+MAX($A$5:A89),"")</f>
        <v/>
      </c>
      <c r="B90" s="79"/>
      <c r="C90" s="69"/>
      <c r="D90" s="27" t="s">
        <v>96</v>
      </c>
      <c r="E90" s="35"/>
      <c r="F90" s="36"/>
      <c r="G90" s="37"/>
      <c r="H90" s="38"/>
      <c r="I90" s="19"/>
      <c r="J90" s="19"/>
      <c r="K90" s="31"/>
      <c r="L90" s="19"/>
      <c r="M90" s="32"/>
      <c r="N90" s="11"/>
      <c r="O90" s="11"/>
      <c r="P90" s="54"/>
      <c r="Q90" s="39"/>
      <c r="R90" s="39"/>
      <c r="U90" s="41"/>
    </row>
    <row r="91" spans="1:21" s="40" customFormat="1">
      <c r="A91" s="33" t="str">
        <f>IF(H91&lt;&gt;"",1+MAX($A$5:A90),"")</f>
        <v/>
      </c>
      <c r="B91" s="79"/>
      <c r="C91" s="69"/>
      <c r="D91" s="94" t="s">
        <v>91</v>
      </c>
      <c r="E91" s="35"/>
      <c r="F91" s="36"/>
      <c r="G91" s="37"/>
      <c r="H91" s="38"/>
      <c r="I91" s="19"/>
      <c r="J91" s="19"/>
      <c r="K91" s="31"/>
      <c r="L91" s="19"/>
      <c r="M91" s="32"/>
      <c r="N91" s="11"/>
      <c r="O91" s="11"/>
      <c r="P91" s="54"/>
      <c r="Q91" s="39"/>
      <c r="R91" s="39"/>
      <c r="U91" s="41"/>
    </row>
    <row r="92" spans="1:21" s="40" customFormat="1">
      <c r="A92" s="33">
        <f>IF(H92&lt;&gt;"",1+MAX($A$5:A91),"")</f>
        <v>70</v>
      </c>
      <c r="B92" s="79"/>
      <c r="C92" s="69"/>
      <c r="D92" s="96" t="s">
        <v>134</v>
      </c>
      <c r="E92" s="109">
        <v>8</v>
      </c>
      <c r="F92" s="110"/>
      <c r="G92" s="111"/>
      <c r="H92" s="112" t="s">
        <v>3</v>
      </c>
      <c r="I92" s="19"/>
      <c r="J92" s="19"/>
      <c r="K92" s="31"/>
      <c r="L92" s="19"/>
      <c r="M92" s="32"/>
      <c r="N92" s="11"/>
      <c r="O92" s="11"/>
      <c r="P92" s="54"/>
      <c r="Q92" s="39"/>
      <c r="R92" s="39"/>
      <c r="U92" s="41"/>
    </row>
    <row r="93" spans="1:21" s="40" customFormat="1">
      <c r="A93" s="33">
        <f>IF(H93&lt;&gt;"",1+MAX($A$5:A92),"")</f>
        <v>71</v>
      </c>
      <c r="B93" s="79"/>
      <c r="C93" s="69"/>
      <c r="D93" s="27" t="s">
        <v>84</v>
      </c>
      <c r="E93" s="35">
        <f>(2.5*2.5*0.8333*E92)/27</f>
        <v>1.5431481481481482</v>
      </c>
      <c r="F93" s="36">
        <v>0</v>
      </c>
      <c r="G93" s="37">
        <f t="shared" ref="G93:G98" si="66">(1+F93)*E93</f>
        <v>1.5431481481481482</v>
      </c>
      <c r="H93" s="38" t="s">
        <v>85</v>
      </c>
      <c r="I93" s="97">
        <v>0</v>
      </c>
      <c r="J93" s="97">
        <f t="shared" ref="J93:J98" si="67">I93*G93</f>
        <v>0</v>
      </c>
      <c r="K93" s="31">
        <v>0.78</v>
      </c>
      <c r="L93" s="19">
        <f t="shared" ref="L93:L98" si="68">$O$25</f>
        <v>42</v>
      </c>
      <c r="M93" s="32">
        <f t="shared" ref="M93:M98" si="69">K93*G93</f>
        <v>1.2036555555555557</v>
      </c>
      <c r="N93" s="11">
        <f t="shared" ref="N93:N98" si="70">M93*L93</f>
        <v>50.553533333333341</v>
      </c>
      <c r="O93" s="11">
        <f t="shared" ref="O93:O98" si="71">N93+J93</f>
        <v>50.553533333333341</v>
      </c>
      <c r="P93" s="54"/>
      <c r="Q93" s="39"/>
      <c r="R93" s="39"/>
      <c r="U93" s="41"/>
    </row>
    <row r="94" spans="1:21" s="40" customFormat="1">
      <c r="A94" s="33">
        <f>IF(H94&lt;&gt;"",1+MAX($A$5:A93),"")</f>
        <v>72</v>
      </c>
      <c r="B94" s="79"/>
      <c r="C94" s="69"/>
      <c r="D94" s="27" t="s">
        <v>86</v>
      </c>
      <c r="E94" s="35">
        <f>2*2*E92</f>
        <v>32</v>
      </c>
      <c r="F94" s="36">
        <v>0</v>
      </c>
      <c r="G94" s="37">
        <f t="shared" si="66"/>
        <v>32</v>
      </c>
      <c r="H94" s="38" t="s">
        <v>32</v>
      </c>
      <c r="I94" s="97">
        <v>0</v>
      </c>
      <c r="J94" s="97">
        <f t="shared" si="67"/>
        <v>0</v>
      </c>
      <c r="K94" s="31">
        <v>3.4000000000000002E-2</v>
      </c>
      <c r="L94" s="19">
        <f t="shared" si="68"/>
        <v>42</v>
      </c>
      <c r="M94" s="32">
        <f t="shared" si="69"/>
        <v>1.0880000000000001</v>
      </c>
      <c r="N94" s="11">
        <f t="shared" si="70"/>
        <v>45.696000000000005</v>
      </c>
      <c r="O94" s="11">
        <f t="shared" si="71"/>
        <v>45.696000000000005</v>
      </c>
      <c r="P94" s="54"/>
      <c r="Q94" s="39"/>
      <c r="R94" s="39"/>
      <c r="U94" s="41"/>
    </row>
    <row r="95" spans="1:21" s="40" customFormat="1">
      <c r="A95" s="33">
        <f>IF(H95&lt;&gt;"",1+MAX($A$5:A94),"")</f>
        <v>73</v>
      </c>
      <c r="B95" s="79"/>
      <c r="C95" s="69"/>
      <c r="D95" s="27" t="s">
        <v>87</v>
      </c>
      <c r="E95" s="35">
        <f>2*4*2*E92</f>
        <v>128</v>
      </c>
      <c r="F95" s="36">
        <v>0.08</v>
      </c>
      <c r="G95" s="37">
        <f t="shared" si="66"/>
        <v>138.24</v>
      </c>
      <c r="H95" s="38" t="s">
        <v>32</v>
      </c>
      <c r="I95" s="19">
        <v>1.5773999999999999</v>
      </c>
      <c r="J95" s="19">
        <f t="shared" si="67"/>
        <v>218.059776</v>
      </c>
      <c r="K95" s="31">
        <v>4.5499999999999999E-2</v>
      </c>
      <c r="L95" s="19">
        <f t="shared" si="68"/>
        <v>42</v>
      </c>
      <c r="M95" s="32">
        <f t="shared" si="69"/>
        <v>6.2899200000000004</v>
      </c>
      <c r="N95" s="11">
        <f t="shared" si="70"/>
        <v>264.17664000000002</v>
      </c>
      <c r="O95" s="11">
        <f t="shared" si="71"/>
        <v>482.23641600000002</v>
      </c>
      <c r="P95" s="54"/>
      <c r="Q95" s="39"/>
      <c r="R95" s="39"/>
      <c r="U95" s="41"/>
    </row>
    <row r="96" spans="1:21" s="40" customFormat="1">
      <c r="A96" s="33">
        <f>IF(H96&lt;&gt;"",1+MAX($A$5:A95),"")</f>
        <v>74</v>
      </c>
      <c r="B96" s="79"/>
      <c r="C96" s="69"/>
      <c r="D96" s="27" t="s">
        <v>88</v>
      </c>
      <c r="E96" s="35">
        <f>(2*2*0.8333*E92)/27</f>
        <v>0.98761481481481483</v>
      </c>
      <c r="F96" s="36">
        <v>0.05</v>
      </c>
      <c r="G96" s="37">
        <f t="shared" si="66"/>
        <v>1.0369955555555557</v>
      </c>
      <c r="H96" s="38" t="s">
        <v>85</v>
      </c>
      <c r="I96" s="19">
        <v>463.65999999999997</v>
      </c>
      <c r="J96" s="19">
        <f t="shared" si="67"/>
        <v>480.81335928888893</v>
      </c>
      <c r="K96" s="31">
        <v>1.85</v>
      </c>
      <c r="L96" s="19">
        <f t="shared" si="68"/>
        <v>42</v>
      </c>
      <c r="M96" s="32">
        <f t="shared" si="69"/>
        <v>1.918441777777778</v>
      </c>
      <c r="N96" s="11">
        <f t="shared" si="70"/>
        <v>80.574554666666671</v>
      </c>
      <c r="O96" s="11">
        <f t="shared" si="71"/>
        <v>561.38791395555563</v>
      </c>
      <c r="P96" s="54"/>
      <c r="Q96" s="39"/>
      <c r="R96" s="39"/>
      <c r="U96" s="41"/>
    </row>
    <row r="97" spans="1:21" s="40" customFormat="1">
      <c r="A97" s="33">
        <f>IF(H97&lt;&gt;"",1+MAX($A$5:A96),"")</f>
        <v>75</v>
      </c>
      <c r="B97" s="79"/>
      <c r="C97" s="69"/>
      <c r="D97" s="27" t="s">
        <v>89</v>
      </c>
      <c r="E97" s="35">
        <f>E93-E96</f>
        <v>0.55553333333333332</v>
      </c>
      <c r="F97" s="36">
        <v>0</v>
      </c>
      <c r="G97" s="37">
        <f t="shared" si="66"/>
        <v>0.55553333333333332</v>
      </c>
      <c r="H97" s="38" t="s">
        <v>85</v>
      </c>
      <c r="I97" s="97">
        <v>0</v>
      </c>
      <c r="J97" s="97">
        <f t="shared" si="67"/>
        <v>0</v>
      </c>
      <c r="K97" s="31">
        <v>0.7</v>
      </c>
      <c r="L97" s="19">
        <f t="shared" si="68"/>
        <v>42</v>
      </c>
      <c r="M97" s="32">
        <f t="shared" si="69"/>
        <v>0.38887333333333329</v>
      </c>
      <c r="N97" s="11">
        <f t="shared" si="70"/>
        <v>16.33268</v>
      </c>
      <c r="O97" s="11">
        <f t="shared" si="71"/>
        <v>16.33268</v>
      </c>
      <c r="P97" s="54"/>
      <c r="Q97" s="39"/>
      <c r="R97" s="39"/>
      <c r="U97" s="41"/>
    </row>
    <row r="98" spans="1:21" s="40" customFormat="1">
      <c r="A98" s="33">
        <f>IF(H98&lt;&gt;"",1+MAX($A$5:A97),"")</f>
        <v>76</v>
      </c>
      <c r="B98" s="79"/>
      <c r="C98" s="69"/>
      <c r="D98" s="27" t="s">
        <v>90</v>
      </c>
      <c r="E98" s="35">
        <f>E96</f>
        <v>0.98761481481481483</v>
      </c>
      <c r="F98" s="36">
        <v>0</v>
      </c>
      <c r="G98" s="37">
        <f t="shared" si="66"/>
        <v>0.98761481481481483</v>
      </c>
      <c r="H98" s="38" t="s">
        <v>85</v>
      </c>
      <c r="I98" s="97">
        <v>0</v>
      </c>
      <c r="J98" s="97">
        <f t="shared" si="67"/>
        <v>0</v>
      </c>
      <c r="K98" s="31">
        <v>0.83</v>
      </c>
      <c r="L98" s="19">
        <f t="shared" si="68"/>
        <v>42</v>
      </c>
      <c r="M98" s="32">
        <f t="shared" si="69"/>
        <v>0.81972029629629628</v>
      </c>
      <c r="N98" s="11">
        <f t="shared" si="70"/>
        <v>34.428252444444446</v>
      </c>
      <c r="O98" s="11">
        <f t="shared" si="71"/>
        <v>34.428252444444446</v>
      </c>
      <c r="P98" s="54"/>
      <c r="Q98" s="39"/>
      <c r="R98" s="39"/>
      <c r="U98" s="41"/>
    </row>
    <row r="99" spans="1:21" s="40" customFormat="1">
      <c r="A99" s="33" t="str">
        <f>IF(H99&lt;&gt;"",1+MAX($A$5:A98),"")</f>
        <v/>
      </c>
      <c r="B99" s="79"/>
      <c r="C99" s="69"/>
      <c r="D99" s="27" t="s">
        <v>96</v>
      </c>
      <c r="E99" s="35"/>
      <c r="F99" s="36"/>
      <c r="G99" s="37"/>
      <c r="H99" s="38"/>
      <c r="I99" s="19"/>
      <c r="J99" s="19"/>
      <c r="K99" s="31"/>
      <c r="L99" s="19"/>
      <c r="M99" s="32"/>
      <c r="N99" s="11"/>
      <c r="O99" s="11"/>
      <c r="P99" s="54"/>
      <c r="Q99" s="39"/>
      <c r="R99" s="39"/>
      <c r="U99" s="41"/>
    </row>
    <row r="100" spans="1:21" s="40" customFormat="1">
      <c r="A100" s="33">
        <f>IF(H100&lt;&gt;"",1+MAX($A$5:A99),"")</f>
        <v>77</v>
      </c>
      <c r="B100" s="79"/>
      <c r="C100" s="69"/>
      <c r="D100" s="96" t="s">
        <v>135</v>
      </c>
      <c r="E100" s="109">
        <v>2</v>
      </c>
      <c r="F100" s="110"/>
      <c r="G100" s="111"/>
      <c r="H100" s="112" t="s">
        <v>3</v>
      </c>
      <c r="I100" s="19"/>
      <c r="J100" s="19"/>
      <c r="K100" s="31"/>
      <c r="L100" s="19"/>
      <c r="M100" s="32"/>
      <c r="N100" s="11"/>
      <c r="O100" s="11"/>
      <c r="P100" s="54"/>
      <c r="Q100" s="39"/>
      <c r="R100" s="39"/>
      <c r="U100" s="41"/>
    </row>
    <row r="101" spans="1:21" s="40" customFormat="1">
      <c r="A101" s="33">
        <f>IF(H101&lt;&gt;"",1+MAX($A$5:A100),"")</f>
        <v>78</v>
      </c>
      <c r="B101" s="79"/>
      <c r="C101" s="69"/>
      <c r="D101" s="27" t="s">
        <v>84</v>
      </c>
      <c r="E101" s="35">
        <f>(3*3*1.6667*E100)/27</f>
        <v>1.1111333333333333</v>
      </c>
      <c r="F101" s="36">
        <v>0</v>
      </c>
      <c r="G101" s="37">
        <f t="shared" ref="G101:G106" si="72">(1+F101)*E101</f>
        <v>1.1111333333333333</v>
      </c>
      <c r="H101" s="38" t="s">
        <v>85</v>
      </c>
      <c r="I101" s="97">
        <v>0</v>
      </c>
      <c r="J101" s="97">
        <f t="shared" ref="J101:J106" si="73">I101*G101</f>
        <v>0</v>
      </c>
      <c r="K101" s="31">
        <v>0.78</v>
      </c>
      <c r="L101" s="19">
        <f t="shared" ref="L101:L106" si="74">$O$25</f>
        <v>42</v>
      </c>
      <c r="M101" s="32">
        <f t="shared" ref="M101:M106" si="75">K101*G101</f>
        <v>0.86668400000000001</v>
      </c>
      <c r="N101" s="11">
        <f t="shared" ref="N101:N106" si="76">M101*L101</f>
        <v>36.400728000000001</v>
      </c>
      <c r="O101" s="11">
        <f t="shared" ref="O101:O106" si="77">N101+J101</f>
        <v>36.400728000000001</v>
      </c>
      <c r="P101" s="54"/>
      <c r="Q101" s="39"/>
      <c r="R101" s="39"/>
      <c r="U101" s="41"/>
    </row>
    <row r="102" spans="1:21" s="40" customFormat="1">
      <c r="A102" s="33">
        <f>IF(H102&lt;&gt;"",1+MAX($A$5:A101),"")</f>
        <v>79</v>
      </c>
      <c r="B102" s="79"/>
      <c r="C102" s="69"/>
      <c r="D102" s="27" t="s">
        <v>86</v>
      </c>
      <c r="E102" s="35">
        <f>3*3*E100</f>
        <v>18</v>
      </c>
      <c r="F102" s="36">
        <v>0</v>
      </c>
      <c r="G102" s="37">
        <f t="shared" si="72"/>
        <v>18</v>
      </c>
      <c r="H102" s="38" t="s">
        <v>32</v>
      </c>
      <c r="I102" s="97">
        <v>0</v>
      </c>
      <c r="J102" s="97">
        <f t="shared" si="73"/>
        <v>0</v>
      </c>
      <c r="K102" s="31">
        <v>3.4000000000000002E-2</v>
      </c>
      <c r="L102" s="19">
        <f t="shared" si="74"/>
        <v>42</v>
      </c>
      <c r="M102" s="32">
        <f t="shared" si="75"/>
        <v>0.6120000000000001</v>
      </c>
      <c r="N102" s="11">
        <f t="shared" si="76"/>
        <v>25.704000000000004</v>
      </c>
      <c r="O102" s="11">
        <f t="shared" si="77"/>
        <v>25.704000000000004</v>
      </c>
      <c r="P102" s="54"/>
      <c r="Q102" s="39"/>
      <c r="R102" s="39"/>
      <c r="U102" s="41"/>
    </row>
    <row r="103" spans="1:21" s="40" customFormat="1">
      <c r="A103" s="33">
        <f>IF(H103&lt;&gt;"",1+MAX($A$5:A102),"")</f>
        <v>80</v>
      </c>
      <c r="B103" s="79"/>
      <c r="C103" s="69"/>
      <c r="D103" s="27" t="s">
        <v>87</v>
      </c>
      <c r="E103" s="35">
        <f>2*4*3*E100</f>
        <v>48</v>
      </c>
      <c r="F103" s="36">
        <v>0.08</v>
      </c>
      <c r="G103" s="37">
        <f t="shared" si="72"/>
        <v>51.84</v>
      </c>
      <c r="H103" s="38" t="s">
        <v>32</v>
      </c>
      <c r="I103" s="19">
        <v>1.5773999999999999</v>
      </c>
      <c r="J103" s="19">
        <f t="shared" si="73"/>
        <v>81.772416000000007</v>
      </c>
      <c r="K103" s="31">
        <v>4.5499999999999999E-2</v>
      </c>
      <c r="L103" s="19">
        <f t="shared" si="74"/>
        <v>42</v>
      </c>
      <c r="M103" s="32">
        <f t="shared" si="75"/>
        <v>2.3587199999999999</v>
      </c>
      <c r="N103" s="11">
        <f t="shared" si="76"/>
        <v>99.066239999999993</v>
      </c>
      <c r="O103" s="11">
        <f t="shared" si="77"/>
        <v>180.83865600000001</v>
      </c>
      <c r="P103" s="54"/>
      <c r="Q103" s="39"/>
      <c r="R103" s="39"/>
      <c r="U103" s="41"/>
    </row>
    <row r="104" spans="1:21" s="40" customFormat="1">
      <c r="A104" s="33">
        <f>IF(H104&lt;&gt;"",1+MAX($A$5:A103),"")</f>
        <v>81</v>
      </c>
      <c r="B104" s="79"/>
      <c r="C104" s="69"/>
      <c r="D104" s="27" t="s">
        <v>88</v>
      </c>
      <c r="E104" s="35">
        <f>(2.5*2.5*1.6667*E100)/27</f>
        <v>0.77162037037037046</v>
      </c>
      <c r="F104" s="36">
        <v>0.05</v>
      </c>
      <c r="G104" s="37">
        <f t="shared" si="72"/>
        <v>0.81020138888888904</v>
      </c>
      <c r="H104" s="38" t="s">
        <v>85</v>
      </c>
      <c r="I104" s="19">
        <v>463.65999999999997</v>
      </c>
      <c r="J104" s="19">
        <f t="shared" si="73"/>
        <v>375.65797597222229</v>
      </c>
      <c r="K104" s="31">
        <v>1.85</v>
      </c>
      <c r="L104" s="19">
        <f t="shared" si="74"/>
        <v>42</v>
      </c>
      <c r="M104" s="32">
        <f t="shared" si="75"/>
        <v>1.4988725694444447</v>
      </c>
      <c r="N104" s="11">
        <f t="shared" si="76"/>
        <v>62.952647916666677</v>
      </c>
      <c r="O104" s="11">
        <f t="shared" si="77"/>
        <v>438.61062388888899</v>
      </c>
      <c r="P104" s="54"/>
      <c r="Q104" s="39"/>
      <c r="R104" s="39"/>
      <c r="U104" s="41"/>
    </row>
    <row r="105" spans="1:21" s="40" customFormat="1">
      <c r="A105" s="33">
        <f>IF(H105&lt;&gt;"",1+MAX($A$5:A104),"")</f>
        <v>82</v>
      </c>
      <c r="B105" s="79"/>
      <c r="C105" s="69"/>
      <c r="D105" s="27" t="s">
        <v>89</v>
      </c>
      <c r="E105" s="35">
        <f>E101-E104</f>
        <v>0.33951296296296285</v>
      </c>
      <c r="F105" s="36">
        <v>0</v>
      </c>
      <c r="G105" s="37">
        <f t="shared" si="72"/>
        <v>0.33951296296296285</v>
      </c>
      <c r="H105" s="38" t="s">
        <v>85</v>
      </c>
      <c r="I105" s="97">
        <v>0</v>
      </c>
      <c r="J105" s="97">
        <f t="shared" si="73"/>
        <v>0</v>
      </c>
      <c r="K105" s="31">
        <v>0.7</v>
      </c>
      <c r="L105" s="19">
        <f t="shared" si="74"/>
        <v>42</v>
      </c>
      <c r="M105" s="32">
        <f t="shared" si="75"/>
        <v>0.23765907407407397</v>
      </c>
      <c r="N105" s="11">
        <f t="shared" si="76"/>
        <v>9.9816811111111061</v>
      </c>
      <c r="O105" s="11">
        <f t="shared" si="77"/>
        <v>9.9816811111111061</v>
      </c>
      <c r="P105" s="54"/>
      <c r="Q105" s="39"/>
      <c r="R105" s="39"/>
      <c r="U105" s="41"/>
    </row>
    <row r="106" spans="1:21" s="40" customFormat="1">
      <c r="A106" s="33">
        <f>IF(H106&lt;&gt;"",1+MAX($A$5:A105),"")</f>
        <v>83</v>
      </c>
      <c r="B106" s="79"/>
      <c r="C106" s="69"/>
      <c r="D106" s="27" t="s">
        <v>90</v>
      </c>
      <c r="E106" s="35">
        <f>E104</f>
        <v>0.77162037037037046</v>
      </c>
      <c r="F106" s="36">
        <v>0</v>
      </c>
      <c r="G106" s="37">
        <f t="shared" si="72"/>
        <v>0.77162037037037046</v>
      </c>
      <c r="H106" s="38" t="s">
        <v>85</v>
      </c>
      <c r="I106" s="97">
        <v>0</v>
      </c>
      <c r="J106" s="97">
        <f t="shared" si="73"/>
        <v>0</v>
      </c>
      <c r="K106" s="31">
        <v>0.83</v>
      </c>
      <c r="L106" s="19">
        <f t="shared" si="74"/>
        <v>42</v>
      </c>
      <c r="M106" s="32">
        <f t="shared" si="75"/>
        <v>0.64044490740740745</v>
      </c>
      <c r="N106" s="11">
        <f t="shared" si="76"/>
        <v>26.898686111111111</v>
      </c>
      <c r="O106" s="11">
        <f t="shared" si="77"/>
        <v>26.898686111111111</v>
      </c>
      <c r="P106" s="54"/>
      <c r="Q106" s="39"/>
      <c r="R106" s="39"/>
      <c r="U106" s="41"/>
    </row>
    <row r="107" spans="1:21" s="40" customFormat="1">
      <c r="A107" s="33" t="str">
        <f>IF(H107&lt;&gt;"",1+MAX($A$5:A106),"")</f>
        <v/>
      </c>
      <c r="B107" s="79"/>
      <c r="C107" s="69"/>
      <c r="D107" s="27" t="s">
        <v>96</v>
      </c>
      <c r="E107" s="35"/>
      <c r="F107" s="36"/>
      <c r="G107" s="37"/>
      <c r="H107" s="38"/>
      <c r="I107" s="19"/>
      <c r="J107" s="19"/>
      <c r="K107" s="31"/>
      <c r="L107" s="19"/>
      <c r="M107" s="32"/>
      <c r="N107" s="11"/>
      <c r="O107" s="11"/>
      <c r="P107" s="54"/>
      <c r="Q107" s="39"/>
      <c r="R107" s="39"/>
      <c r="U107" s="41"/>
    </row>
    <row r="108" spans="1:21" s="40" customFormat="1">
      <c r="A108" s="33">
        <f>IF(H108&lt;&gt;"",1+MAX($A$5:A107),"")</f>
        <v>84</v>
      </c>
      <c r="B108" s="79"/>
      <c r="C108" s="69"/>
      <c r="D108" s="96" t="s">
        <v>136</v>
      </c>
      <c r="E108" s="109">
        <v>4</v>
      </c>
      <c r="F108" s="110"/>
      <c r="G108" s="111"/>
      <c r="H108" s="112" t="s">
        <v>3</v>
      </c>
      <c r="I108" s="19"/>
      <c r="J108" s="19"/>
      <c r="K108" s="31"/>
      <c r="L108" s="19"/>
      <c r="M108" s="32"/>
      <c r="N108" s="11"/>
      <c r="O108" s="11"/>
      <c r="P108" s="54"/>
      <c r="Q108" s="39"/>
      <c r="R108" s="39"/>
      <c r="U108" s="41"/>
    </row>
    <row r="109" spans="1:21" s="40" customFormat="1">
      <c r="A109" s="33">
        <f>IF(H109&lt;&gt;"",1+MAX($A$5:A108),"")</f>
        <v>85</v>
      </c>
      <c r="B109" s="79"/>
      <c r="C109" s="69"/>
      <c r="D109" s="27" t="s">
        <v>84</v>
      </c>
      <c r="E109" s="35">
        <f>(3.5*3.5*1*E108)/27</f>
        <v>1.8148148148148149</v>
      </c>
      <c r="F109" s="36">
        <v>0</v>
      </c>
      <c r="G109" s="37">
        <f t="shared" ref="G109:G114" si="78">(1+F109)*E109</f>
        <v>1.8148148148148149</v>
      </c>
      <c r="H109" s="38" t="s">
        <v>85</v>
      </c>
      <c r="I109" s="97">
        <v>0</v>
      </c>
      <c r="J109" s="97">
        <f t="shared" ref="J109:J114" si="79">I109*G109</f>
        <v>0</v>
      </c>
      <c r="K109" s="31">
        <v>0.78</v>
      </c>
      <c r="L109" s="19">
        <f t="shared" ref="L109:L114" si="80">$O$25</f>
        <v>42</v>
      </c>
      <c r="M109" s="32">
        <f t="shared" ref="M109:M114" si="81">K109*G109</f>
        <v>1.4155555555555557</v>
      </c>
      <c r="N109" s="11">
        <f t="shared" ref="N109:N114" si="82">M109*L109</f>
        <v>59.45333333333334</v>
      </c>
      <c r="O109" s="11">
        <f t="shared" ref="O109:O114" si="83">N109+J109</f>
        <v>59.45333333333334</v>
      </c>
      <c r="P109" s="54"/>
      <c r="Q109" s="39"/>
      <c r="R109" s="39"/>
      <c r="U109" s="41"/>
    </row>
    <row r="110" spans="1:21" s="40" customFormat="1">
      <c r="A110" s="33">
        <f>IF(H110&lt;&gt;"",1+MAX($A$5:A109),"")</f>
        <v>86</v>
      </c>
      <c r="B110" s="79"/>
      <c r="C110" s="69"/>
      <c r="D110" s="27" t="s">
        <v>86</v>
      </c>
      <c r="E110" s="35">
        <f>3.5*3.5*E108</f>
        <v>49</v>
      </c>
      <c r="F110" s="36">
        <v>0</v>
      </c>
      <c r="G110" s="37">
        <f t="shared" si="78"/>
        <v>49</v>
      </c>
      <c r="H110" s="38" t="s">
        <v>32</v>
      </c>
      <c r="I110" s="97">
        <v>0</v>
      </c>
      <c r="J110" s="97">
        <f t="shared" si="79"/>
        <v>0</v>
      </c>
      <c r="K110" s="31">
        <v>3.4000000000000002E-2</v>
      </c>
      <c r="L110" s="19">
        <f t="shared" si="80"/>
        <v>42</v>
      </c>
      <c r="M110" s="32">
        <f t="shared" si="81"/>
        <v>1.6660000000000001</v>
      </c>
      <c r="N110" s="11">
        <f t="shared" si="82"/>
        <v>69.972000000000008</v>
      </c>
      <c r="O110" s="11">
        <f t="shared" si="83"/>
        <v>69.972000000000008</v>
      </c>
      <c r="P110" s="54"/>
      <c r="Q110" s="39"/>
      <c r="R110" s="39"/>
      <c r="U110" s="41"/>
    </row>
    <row r="111" spans="1:21" s="40" customFormat="1">
      <c r="A111" s="33">
        <f>IF(H111&lt;&gt;"",1+MAX($A$5:A110),"")</f>
        <v>87</v>
      </c>
      <c r="B111" s="79"/>
      <c r="C111" s="69"/>
      <c r="D111" s="27" t="s">
        <v>87</v>
      </c>
      <c r="E111" s="35">
        <f>2*4*3*E108</f>
        <v>96</v>
      </c>
      <c r="F111" s="36">
        <v>0.08</v>
      </c>
      <c r="G111" s="37">
        <f t="shared" si="78"/>
        <v>103.68</v>
      </c>
      <c r="H111" s="38" t="s">
        <v>32</v>
      </c>
      <c r="I111" s="19">
        <v>1.5773999999999999</v>
      </c>
      <c r="J111" s="19">
        <f t="shared" si="79"/>
        <v>163.54483200000001</v>
      </c>
      <c r="K111" s="31">
        <v>4.5499999999999999E-2</v>
      </c>
      <c r="L111" s="19">
        <f t="shared" si="80"/>
        <v>42</v>
      </c>
      <c r="M111" s="32">
        <f t="shared" si="81"/>
        <v>4.7174399999999999</v>
      </c>
      <c r="N111" s="11">
        <f t="shared" si="82"/>
        <v>198.13247999999999</v>
      </c>
      <c r="O111" s="11">
        <f t="shared" si="83"/>
        <v>361.67731200000003</v>
      </c>
      <c r="P111" s="54"/>
      <c r="Q111" s="39"/>
      <c r="R111" s="39"/>
      <c r="U111" s="41"/>
    </row>
    <row r="112" spans="1:21" s="40" customFormat="1">
      <c r="A112" s="33">
        <f>IF(H112&lt;&gt;"",1+MAX($A$5:A111),"")</f>
        <v>88</v>
      </c>
      <c r="B112" s="79"/>
      <c r="C112" s="69"/>
      <c r="D112" s="27" t="s">
        <v>88</v>
      </c>
      <c r="E112" s="35">
        <f>(3*3*1*E108)/27</f>
        <v>1.3333333333333333</v>
      </c>
      <c r="F112" s="36">
        <v>0.05</v>
      </c>
      <c r="G112" s="37">
        <f t="shared" si="78"/>
        <v>1.4</v>
      </c>
      <c r="H112" s="38" t="s">
        <v>85</v>
      </c>
      <c r="I112" s="19">
        <v>463.65999999999997</v>
      </c>
      <c r="J112" s="19">
        <f t="shared" si="79"/>
        <v>649.12399999999991</v>
      </c>
      <c r="K112" s="31">
        <v>1.85</v>
      </c>
      <c r="L112" s="19">
        <f t="shared" si="80"/>
        <v>42</v>
      </c>
      <c r="M112" s="32">
        <f t="shared" si="81"/>
        <v>2.59</v>
      </c>
      <c r="N112" s="11">
        <f t="shared" si="82"/>
        <v>108.78</v>
      </c>
      <c r="O112" s="11">
        <f t="shared" si="83"/>
        <v>757.90399999999988</v>
      </c>
      <c r="P112" s="54"/>
      <c r="Q112" s="39"/>
      <c r="R112" s="39"/>
      <c r="U112" s="41"/>
    </row>
    <row r="113" spans="1:21" s="40" customFormat="1">
      <c r="A113" s="33">
        <f>IF(H113&lt;&gt;"",1+MAX($A$5:A112),"")</f>
        <v>89</v>
      </c>
      <c r="B113" s="79"/>
      <c r="C113" s="69"/>
      <c r="D113" s="27" t="s">
        <v>89</v>
      </c>
      <c r="E113" s="35">
        <f>E109-E112</f>
        <v>0.48148148148148162</v>
      </c>
      <c r="F113" s="36">
        <v>0</v>
      </c>
      <c r="G113" s="37">
        <f t="shared" si="78"/>
        <v>0.48148148148148162</v>
      </c>
      <c r="H113" s="38" t="s">
        <v>85</v>
      </c>
      <c r="I113" s="97">
        <v>0</v>
      </c>
      <c r="J113" s="97">
        <f t="shared" si="79"/>
        <v>0</v>
      </c>
      <c r="K113" s="31">
        <v>0.7</v>
      </c>
      <c r="L113" s="19">
        <f t="shared" si="80"/>
        <v>42</v>
      </c>
      <c r="M113" s="32">
        <f t="shared" si="81"/>
        <v>0.33703703703703713</v>
      </c>
      <c r="N113" s="11">
        <f t="shared" si="82"/>
        <v>14.15555555555556</v>
      </c>
      <c r="O113" s="11">
        <f t="shared" si="83"/>
        <v>14.15555555555556</v>
      </c>
      <c r="P113" s="54"/>
      <c r="Q113" s="39"/>
      <c r="R113" s="39"/>
      <c r="U113" s="41"/>
    </row>
    <row r="114" spans="1:21" s="40" customFormat="1">
      <c r="A114" s="33">
        <f>IF(H114&lt;&gt;"",1+MAX($A$5:A113),"")</f>
        <v>90</v>
      </c>
      <c r="B114" s="79"/>
      <c r="C114" s="69"/>
      <c r="D114" s="27" t="s">
        <v>90</v>
      </c>
      <c r="E114" s="35">
        <f>E112</f>
        <v>1.3333333333333333</v>
      </c>
      <c r="F114" s="36">
        <v>0</v>
      </c>
      <c r="G114" s="37">
        <f t="shared" si="78"/>
        <v>1.3333333333333333</v>
      </c>
      <c r="H114" s="38" t="s">
        <v>85</v>
      </c>
      <c r="I114" s="97">
        <v>0</v>
      </c>
      <c r="J114" s="97">
        <f t="shared" si="79"/>
        <v>0</v>
      </c>
      <c r="K114" s="31">
        <v>0.83</v>
      </c>
      <c r="L114" s="19">
        <f t="shared" si="80"/>
        <v>42</v>
      </c>
      <c r="M114" s="32">
        <f t="shared" si="81"/>
        <v>1.1066666666666665</v>
      </c>
      <c r="N114" s="11">
        <f t="shared" si="82"/>
        <v>46.47999999999999</v>
      </c>
      <c r="O114" s="11">
        <f t="shared" si="83"/>
        <v>46.47999999999999</v>
      </c>
      <c r="P114" s="54"/>
      <c r="Q114" s="39"/>
      <c r="R114" s="39"/>
      <c r="U114" s="41"/>
    </row>
    <row r="115" spans="1:21" s="40" customFormat="1">
      <c r="A115" s="33" t="str">
        <f>IF(H115&lt;&gt;"",1+MAX($A$5:A114),"")</f>
        <v/>
      </c>
      <c r="B115" s="79"/>
      <c r="C115" s="69"/>
      <c r="D115" s="27" t="s">
        <v>96</v>
      </c>
      <c r="E115" s="35"/>
      <c r="F115" s="36"/>
      <c r="G115" s="37"/>
      <c r="H115" s="38"/>
      <c r="I115" s="19"/>
      <c r="J115" s="19"/>
      <c r="K115" s="31"/>
      <c r="L115" s="19"/>
      <c r="M115" s="32"/>
      <c r="N115" s="11"/>
      <c r="O115" s="11"/>
      <c r="P115" s="54"/>
      <c r="Q115" s="39"/>
      <c r="R115" s="39"/>
      <c r="U115" s="41"/>
    </row>
    <row r="116" spans="1:21" s="40" customFormat="1">
      <c r="A116" s="33">
        <f>IF(H116&lt;&gt;"",1+MAX($A$5:A115),"")</f>
        <v>91</v>
      </c>
      <c r="B116" s="79"/>
      <c r="C116" s="69"/>
      <c r="D116" s="96" t="s">
        <v>137</v>
      </c>
      <c r="E116" s="109">
        <v>4</v>
      </c>
      <c r="F116" s="110"/>
      <c r="G116" s="111"/>
      <c r="H116" s="112" t="s">
        <v>3</v>
      </c>
      <c r="I116" s="19"/>
      <c r="J116" s="19"/>
      <c r="K116" s="31"/>
      <c r="L116" s="19"/>
      <c r="M116" s="32"/>
      <c r="N116" s="11"/>
      <c r="O116" s="11"/>
      <c r="P116" s="54"/>
      <c r="Q116" s="39"/>
      <c r="R116" s="39"/>
      <c r="U116" s="41"/>
    </row>
    <row r="117" spans="1:21" s="40" customFormat="1">
      <c r="A117" s="33">
        <f>IF(H117&lt;&gt;"",1+MAX($A$5:A116),"")</f>
        <v>92</v>
      </c>
      <c r="B117" s="79"/>
      <c r="C117" s="69"/>
      <c r="D117" s="27" t="s">
        <v>84</v>
      </c>
      <c r="E117" s="35">
        <f>(4*4*1*E116)/27</f>
        <v>2.3703703703703702</v>
      </c>
      <c r="F117" s="36">
        <v>0</v>
      </c>
      <c r="G117" s="37">
        <f t="shared" ref="G117:G122" si="84">(1+F117)*E117</f>
        <v>2.3703703703703702</v>
      </c>
      <c r="H117" s="38" t="s">
        <v>85</v>
      </c>
      <c r="I117" s="97">
        <v>0</v>
      </c>
      <c r="J117" s="97">
        <f t="shared" ref="J117:J122" si="85">I117*G117</f>
        <v>0</v>
      </c>
      <c r="K117" s="31">
        <v>0.78</v>
      </c>
      <c r="L117" s="19">
        <f t="shared" ref="L117:L122" si="86">$O$25</f>
        <v>42</v>
      </c>
      <c r="M117" s="32">
        <f t="shared" ref="M117:M122" si="87">K117*G117</f>
        <v>1.8488888888888888</v>
      </c>
      <c r="N117" s="11">
        <f t="shared" ref="N117:N122" si="88">M117*L117</f>
        <v>77.653333333333336</v>
      </c>
      <c r="O117" s="11">
        <f t="shared" ref="O117:O122" si="89">N117+J117</f>
        <v>77.653333333333336</v>
      </c>
      <c r="P117" s="54"/>
      <c r="Q117" s="39"/>
      <c r="R117" s="39"/>
      <c r="U117" s="41"/>
    </row>
    <row r="118" spans="1:21" s="40" customFormat="1">
      <c r="A118" s="33">
        <f>IF(H118&lt;&gt;"",1+MAX($A$5:A117),"")</f>
        <v>93</v>
      </c>
      <c r="B118" s="79"/>
      <c r="C118" s="69"/>
      <c r="D118" s="27" t="s">
        <v>86</v>
      </c>
      <c r="E118" s="35">
        <f>4*4*E116</f>
        <v>64</v>
      </c>
      <c r="F118" s="36">
        <v>0</v>
      </c>
      <c r="G118" s="37">
        <f t="shared" si="84"/>
        <v>64</v>
      </c>
      <c r="H118" s="38" t="s">
        <v>32</v>
      </c>
      <c r="I118" s="97">
        <v>0</v>
      </c>
      <c r="J118" s="97">
        <f t="shared" si="85"/>
        <v>0</v>
      </c>
      <c r="K118" s="31">
        <v>3.4000000000000002E-2</v>
      </c>
      <c r="L118" s="19">
        <f t="shared" si="86"/>
        <v>42</v>
      </c>
      <c r="M118" s="32">
        <f t="shared" si="87"/>
        <v>2.1760000000000002</v>
      </c>
      <c r="N118" s="11">
        <f t="shared" si="88"/>
        <v>91.39200000000001</v>
      </c>
      <c r="O118" s="11">
        <f t="shared" si="89"/>
        <v>91.39200000000001</v>
      </c>
      <c r="P118" s="54"/>
      <c r="Q118" s="39"/>
      <c r="R118" s="39"/>
      <c r="U118" s="41"/>
    </row>
    <row r="119" spans="1:21" s="40" customFormat="1">
      <c r="A119" s="33">
        <f>IF(H119&lt;&gt;"",1+MAX($A$5:A118),"")</f>
        <v>94</v>
      </c>
      <c r="B119" s="79"/>
      <c r="C119" s="69"/>
      <c r="D119" s="27" t="s">
        <v>87</v>
      </c>
      <c r="E119" s="35">
        <f>2*4*3.5*E116</f>
        <v>112</v>
      </c>
      <c r="F119" s="36">
        <v>0.08</v>
      </c>
      <c r="G119" s="37">
        <f t="shared" si="84"/>
        <v>120.96000000000001</v>
      </c>
      <c r="H119" s="38" t="s">
        <v>32</v>
      </c>
      <c r="I119" s="19">
        <v>1.5773999999999999</v>
      </c>
      <c r="J119" s="19">
        <f t="shared" si="85"/>
        <v>190.80230399999999</v>
      </c>
      <c r="K119" s="31">
        <v>4.5499999999999999E-2</v>
      </c>
      <c r="L119" s="19">
        <f t="shared" si="86"/>
        <v>42</v>
      </c>
      <c r="M119" s="32">
        <f t="shared" si="87"/>
        <v>5.5036800000000001</v>
      </c>
      <c r="N119" s="11">
        <f t="shared" si="88"/>
        <v>231.15456</v>
      </c>
      <c r="O119" s="11">
        <f t="shared" si="89"/>
        <v>421.956864</v>
      </c>
      <c r="P119" s="54"/>
      <c r="Q119" s="39"/>
      <c r="R119" s="39"/>
      <c r="U119" s="41"/>
    </row>
    <row r="120" spans="1:21" s="40" customFormat="1">
      <c r="A120" s="33">
        <f>IF(H120&lt;&gt;"",1+MAX($A$5:A119),"")</f>
        <v>95</v>
      </c>
      <c r="B120" s="79"/>
      <c r="C120" s="69"/>
      <c r="D120" s="27" t="s">
        <v>88</v>
      </c>
      <c r="E120" s="35">
        <f>(3.5*3.5*1*E116)/27</f>
        <v>1.8148148148148149</v>
      </c>
      <c r="F120" s="36">
        <v>0.05</v>
      </c>
      <c r="G120" s="37">
        <f t="shared" si="84"/>
        <v>1.9055555555555557</v>
      </c>
      <c r="H120" s="38" t="s">
        <v>85</v>
      </c>
      <c r="I120" s="19">
        <v>463.65999999999997</v>
      </c>
      <c r="J120" s="19">
        <f t="shared" si="85"/>
        <v>883.52988888888888</v>
      </c>
      <c r="K120" s="31">
        <v>1.85</v>
      </c>
      <c r="L120" s="19">
        <f t="shared" si="86"/>
        <v>42</v>
      </c>
      <c r="M120" s="32">
        <f t="shared" si="87"/>
        <v>3.5252777777777782</v>
      </c>
      <c r="N120" s="11">
        <f t="shared" si="88"/>
        <v>148.0616666666667</v>
      </c>
      <c r="O120" s="11">
        <f t="shared" si="89"/>
        <v>1031.5915555555555</v>
      </c>
      <c r="P120" s="54"/>
      <c r="Q120" s="39"/>
      <c r="R120" s="39"/>
      <c r="U120" s="41"/>
    </row>
    <row r="121" spans="1:21" s="40" customFormat="1">
      <c r="A121" s="33">
        <f>IF(H121&lt;&gt;"",1+MAX($A$5:A120),"")</f>
        <v>96</v>
      </c>
      <c r="B121" s="79"/>
      <c r="C121" s="69"/>
      <c r="D121" s="27" t="s">
        <v>89</v>
      </c>
      <c r="E121" s="35">
        <f>E117-E120</f>
        <v>0.55555555555555536</v>
      </c>
      <c r="F121" s="36">
        <v>0</v>
      </c>
      <c r="G121" s="37">
        <f t="shared" si="84"/>
        <v>0.55555555555555536</v>
      </c>
      <c r="H121" s="38" t="s">
        <v>85</v>
      </c>
      <c r="I121" s="97">
        <v>0</v>
      </c>
      <c r="J121" s="97">
        <f t="shared" si="85"/>
        <v>0</v>
      </c>
      <c r="K121" s="31">
        <v>0.7</v>
      </c>
      <c r="L121" s="19">
        <f t="shared" si="86"/>
        <v>42</v>
      </c>
      <c r="M121" s="32">
        <f t="shared" si="87"/>
        <v>0.38888888888888873</v>
      </c>
      <c r="N121" s="11">
        <f t="shared" si="88"/>
        <v>16.333333333333325</v>
      </c>
      <c r="O121" s="11">
        <f t="shared" si="89"/>
        <v>16.333333333333325</v>
      </c>
      <c r="P121" s="54"/>
      <c r="Q121" s="39"/>
      <c r="R121" s="39"/>
      <c r="U121" s="41"/>
    </row>
    <row r="122" spans="1:21" s="40" customFormat="1">
      <c r="A122" s="33">
        <f>IF(H122&lt;&gt;"",1+MAX($A$5:A121),"")</f>
        <v>97</v>
      </c>
      <c r="B122" s="79"/>
      <c r="C122" s="69"/>
      <c r="D122" s="27" t="s">
        <v>90</v>
      </c>
      <c r="E122" s="35">
        <f>E120</f>
        <v>1.8148148148148149</v>
      </c>
      <c r="F122" s="36">
        <v>0</v>
      </c>
      <c r="G122" s="37">
        <f t="shared" si="84"/>
        <v>1.8148148148148149</v>
      </c>
      <c r="H122" s="38" t="s">
        <v>85</v>
      </c>
      <c r="I122" s="97">
        <v>0</v>
      </c>
      <c r="J122" s="97">
        <f t="shared" si="85"/>
        <v>0</v>
      </c>
      <c r="K122" s="31">
        <v>0.83</v>
      </c>
      <c r="L122" s="19">
        <f t="shared" si="86"/>
        <v>42</v>
      </c>
      <c r="M122" s="32">
        <f t="shared" si="87"/>
        <v>1.5062962962962962</v>
      </c>
      <c r="N122" s="11">
        <f t="shared" si="88"/>
        <v>63.264444444444443</v>
      </c>
      <c r="O122" s="11">
        <f t="shared" si="89"/>
        <v>63.264444444444443</v>
      </c>
      <c r="P122" s="54"/>
      <c r="Q122" s="39"/>
      <c r="R122" s="39"/>
      <c r="U122" s="41"/>
    </row>
    <row r="123" spans="1:21" s="40" customFormat="1">
      <c r="A123" s="33" t="str">
        <f>IF(H123&lt;&gt;"",1+MAX($A$5:A122),"")</f>
        <v/>
      </c>
      <c r="B123" s="79"/>
      <c r="C123" s="69"/>
      <c r="D123" s="27" t="s">
        <v>96</v>
      </c>
      <c r="E123" s="35"/>
      <c r="F123" s="36"/>
      <c r="G123" s="37"/>
      <c r="H123" s="38"/>
      <c r="I123" s="19"/>
      <c r="J123" s="19"/>
      <c r="K123" s="31"/>
      <c r="L123" s="19"/>
      <c r="M123" s="32"/>
      <c r="N123" s="11"/>
      <c r="O123" s="11"/>
      <c r="P123" s="54"/>
      <c r="Q123" s="39"/>
      <c r="R123" s="39"/>
      <c r="U123" s="41"/>
    </row>
    <row r="124" spans="1:21" s="40" customFormat="1">
      <c r="A124" s="33">
        <f>IF(H124&lt;&gt;"",1+MAX($A$5:A123),"")</f>
        <v>98</v>
      </c>
      <c r="B124" s="79"/>
      <c r="C124" s="69"/>
      <c r="D124" s="96" t="s">
        <v>138</v>
      </c>
      <c r="E124" s="109">
        <v>1</v>
      </c>
      <c r="F124" s="110"/>
      <c r="G124" s="111"/>
      <c r="H124" s="112" t="s">
        <v>3</v>
      </c>
      <c r="I124" s="19"/>
      <c r="J124" s="19"/>
      <c r="K124" s="31"/>
      <c r="L124" s="19"/>
      <c r="M124" s="32"/>
      <c r="N124" s="11"/>
      <c r="O124" s="11"/>
      <c r="P124" s="54"/>
      <c r="Q124" s="39"/>
      <c r="R124" s="39"/>
      <c r="U124" s="41"/>
    </row>
    <row r="125" spans="1:21" s="40" customFormat="1">
      <c r="A125" s="33">
        <f>IF(H125&lt;&gt;"",1+MAX($A$5:A124),"")</f>
        <v>99</v>
      </c>
      <c r="B125" s="79"/>
      <c r="C125" s="69"/>
      <c r="D125" s="27" t="s">
        <v>84</v>
      </c>
      <c r="E125" s="35">
        <f>(4*6*0.8333*E124)/27</f>
        <v>0.74071111111111121</v>
      </c>
      <c r="F125" s="36">
        <v>0</v>
      </c>
      <c r="G125" s="37">
        <f t="shared" ref="G125:G130" si="90">(1+F125)*E125</f>
        <v>0.74071111111111121</v>
      </c>
      <c r="H125" s="38" t="s">
        <v>85</v>
      </c>
      <c r="I125" s="97">
        <v>0</v>
      </c>
      <c r="J125" s="97">
        <f t="shared" ref="J125:J130" si="91">I125*G125</f>
        <v>0</v>
      </c>
      <c r="K125" s="31">
        <v>0.78</v>
      </c>
      <c r="L125" s="19">
        <f t="shared" ref="L125:L130" si="92">$O$25</f>
        <v>42</v>
      </c>
      <c r="M125" s="32">
        <f t="shared" ref="M125:M130" si="93">K125*G125</f>
        <v>0.57775466666666675</v>
      </c>
      <c r="N125" s="11">
        <f t="shared" ref="N125:N130" si="94">M125*L125</f>
        <v>24.265696000000002</v>
      </c>
      <c r="O125" s="11">
        <f t="shared" ref="O125:O130" si="95">N125+J125</f>
        <v>24.265696000000002</v>
      </c>
      <c r="P125" s="54"/>
      <c r="Q125" s="39"/>
      <c r="R125" s="39"/>
      <c r="U125" s="41"/>
    </row>
    <row r="126" spans="1:21" s="40" customFormat="1">
      <c r="A126" s="33">
        <f>IF(H126&lt;&gt;"",1+MAX($A$5:A125),"")</f>
        <v>100</v>
      </c>
      <c r="B126" s="79"/>
      <c r="C126" s="69"/>
      <c r="D126" s="27" t="s">
        <v>86</v>
      </c>
      <c r="E126" s="35">
        <f>4*5.5*E124</f>
        <v>22</v>
      </c>
      <c r="F126" s="36">
        <v>0</v>
      </c>
      <c r="G126" s="37">
        <f t="shared" si="90"/>
        <v>22</v>
      </c>
      <c r="H126" s="38" t="s">
        <v>32</v>
      </c>
      <c r="I126" s="97">
        <v>0</v>
      </c>
      <c r="J126" s="97">
        <f t="shared" si="91"/>
        <v>0</v>
      </c>
      <c r="K126" s="31">
        <v>3.4000000000000002E-2</v>
      </c>
      <c r="L126" s="19">
        <f t="shared" si="92"/>
        <v>42</v>
      </c>
      <c r="M126" s="32">
        <f t="shared" si="93"/>
        <v>0.748</v>
      </c>
      <c r="N126" s="11">
        <f t="shared" si="94"/>
        <v>31.416</v>
      </c>
      <c r="O126" s="11">
        <f t="shared" si="95"/>
        <v>31.416</v>
      </c>
      <c r="P126" s="54"/>
      <c r="Q126" s="39"/>
      <c r="R126" s="39"/>
      <c r="U126" s="41"/>
    </row>
    <row r="127" spans="1:21" s="40" customFormat="1">
      <c r="A127" s="33">
        <f>IF(H127&lt;&gt;"",1+MAX($A$5:A126),"")</f>
        <v>101</v>
      </c>
      <c r="B127" s="79"/>
      <c r="C127" s="69"/>
      <c r="D127" s="27" t="s">
        <v>87</v>
      </c>
      <c r="E127" s="35">
        <f>17*0.8333*E124</f>
        <v>14.1661</v>
      </c>
      <c r="F127" s="36">
        <v>0.08</v>
      </c>
      <c r="G127" s="37">
        <f t="shared" si="90"/>
        <v>15.299388</v>
      </c>
      <c r="H127" s="38" t="s">
        <v>32</v>
      </c>
      <c r="I127" s="19">
        <v>1.5773999999999999</v>
      </c>
      <c r="J127" s="19">
        <f t="shared" si="91"/>
        <v>24.1332546312</v>
      </c>
      <c r="K127" s="31">
        <v>4.5499999999999999E-2</v>
      </c>
      <c r="L127" s="19">
        <f t="shared" si="92"/>
        <v>42</v>
      </c>
      <c r="M127" s="32">
        <f t="shared" si="93"/>
        <v>0.69612215399999999</v>
      </c>
      <c r="N127" s="11">
        <f t="shared" si="94"/>
        <v>29.237130468</v>
      </c>
      <c r="O127" s="11">
        <f t="shared" si="95"/>
        <v>53.3703850992</v>
      </c>
      <c r="P127" s="54"/>
      <c r="Q127" s="39"/>
      <c r="R127" s="39"/>
      <c r="U127" s="41"/>
    </row>
    <row r="128" spans="1:21" s="40" customFormat="1">
      <c r="A128" s="33">
        <f>IF(H128&lt;&gt;"",1+MAX($A$5:A127),"")</f>
        <v>102</v>
      </c>
      <c r="B128" s="79"/>
      <c r="C128" s="69"/>
      <c r="D128" s="27" t="s">
        <v>88</v>
      </c>
      <c r="E128" s="35">
        <f>(3*5.5*0.8333*E124)/27</f>
        <v>0.50923888888888891</v>
      </c>
      <c r="F128" s="36">
        <v>0.05</v>
      </c>
      <c r="G128" s="37">
        <f t="shared" si="90"/>
        <v>0.5347008333333334</v>
      </c>
      <c r="H128" s="38" t="s">
        <v>85</v>
      </c>
      <c r="I128" s="19">
        <v>463.65999999999997</v>
      </c>
      <c r="J128" s="19">
        <f t="shared" si="91"/>
        <v>247.91938838333334</v>
      </c>
      <c r="K128" s="31">
        <v>1.85</v>
      </c>
      <c r="L128" s="19">
        <f t="shared" si="92"/>
        <v>42</v>
      </c>
      <c r="M128" s="32">
        <f t="shared" si="93"/>
        <v>0.98919654166666682</v>
      </c>
      <c r="N128" s="11">
        <f t="shared" si="94"/>
        <v>41.546254750000003</v>
      </c>
      <c r="O128" s="11">
        <f t="shared" si="95"/>
        <v>289.46564313333334</v>
      </c>
      <c r="P128" s="54"/>
      <c r="Q128" s="39"/>
      <c r="R128" s="39"/>
      <c r="U128" s="41"/>
    </row>
    <row r="129" spans="1:21" s="40" customFormat="1">
      <c r="A129" s="33">
        <f>IF(H129&lt;&gt;"",1+MAX($A$5:A128),"")</f>
        <v>103</v>
      </c>
      <c r="B129" s="79"/>
      <c r="C129" s="69"/>
      <c r="D129" s="27" t="s">
        <v>89</v>
      </c>
      <c r="E129" s="35">
        <f>E125-E128</f>
        <v>0.2314722222222223</v>
      </c>
      <c r="F129" s="36">
        <v>0</v>
      </c>
      <c r="G129" s="37">
        <f t="shared" si="90"/>
        <v>0.2314722222222223</v>
      </c>
      <c r="H129" s="38" t="s">
        <v>85</v>
      </c>
      <c r="I129" s="97">
        <v>0</v>
      </c>
      <c r="J129" s="97">
        <f t="shared" si="91"/>
        <v>0</v>
      </c>
      <c r="K129" s="31">
        <v>0.7</v>
      </c>
      <c r="L129" s="19">
        <f t="shared" si="92"/>
        <v>42</v>
      </c>
      <c r="M129" s="32">
        <f t="shared" si="93"/>
        <v>0.16203055555555559</v>
      </c>
      <c r="N129" s="11">
        <f t="shared" si="94"/>
        <v>6.8052833333333353</v>
      </c>
      <c r="O129" s="11">
        <f t="shared" si="95"/>
        <v>6.8052833333333353</v>
      </c>
      <c r="P129" s="54"/>
      <c r="Q129" s="39"/>
      <c r="R129" s="39"/>
      <c r="U129" s="41"/>
    </row>
    <row r="130" spans="1:21" s="40" customFormat="1">
      <c r="A130" s="33">
        <f>IF(H130&lt;&gt;"",1+MAX($A$5:A129),"")</f>
        <v>104</v>
      </c>
      <c r="B130" s="79"/>
      <c r="C130" s="69"/>
      <c r="D130" s="27" t="s">
        <v>90</v>
      </c>
      <c r="E130" s="35">
        <f>E128</f>
        <v>0.50923888888888891</v>
      </c>
      <c r="F130" s="36">
        <v>0</v>
      </c>
      <c r="G130" s="37">
        <f t="shared" si="90"/>
        <v>0.50923888888888891</v>
      </c>
      <c r="H130" s="38" t="s">
        <v>85</v>
      </c>
      <c r="I130" s="97">
        <v>0</v>
      </c>
      <c r="J130" s="97">
        <f t="shared" si="91"/>
        <v>0</v>
      </c>
      <c r="K130" s="31">
        <v>0.83</v>
      </c>
      <c r="L130" s="19">
        <f t="shared" si="92"/>
        <v>42</v>
      </c>
      <c r="M130" s="32">
        <f t="shared" si="93"/>
        <v>0.42266827777777777</v>
      </c>
      <c r="N130" s="11">
        <f t="shared" si="94"/>
        <v>17.752067666666665</v>
      </c>
      <c r="O130" s="11">
        <f t="shared" si="95"/>
        <v>17.752067666666665</v>
      </c>
      <c r="P130" s="54"/>
      <c r="Q130" s="39"/>
      <c r="R130" s="39"/>
      <c r="U130" s="41"/>
    </row>
    <row r="131" spans="1:21" s="40" customFormat="1">
      <c r="A131" s="33" t="str">
        <f>IF(H131&lt;&gt;"",1+MAX($A$5:A130),"")</f>
        <v/>
      </c>
      <c r="B131" s="79"/>
      <c r="C131" s="69"/>
      <c r="D131" s="27" t="s">
        <v>96</v>
      </c>
      <c r="E131" s="35"/>
      <c r="F131" s="36"/>
      <c r="G131" s="37"/>
      <c r="H131" s="38"/>
      <c r="I131" s="19"/>
      <c r="J131" s="19"/>
      <c r="K131" s="31"/>
      <c r="L131" s="19"/>
      <c r="M131" s="32"/>
      <c r="N131" s="11"/>
      <c r="O131" s="11"/>
      <c r="P131" s="54"/>
      <c r="Q131" s="39"/>
      <c r="R131" s="39"/>
      <c r="U131" s="41"/>
    </row>
    <row r="132" spans="1:21" s="40" customFormat="1">
      <c r="A132" s="33">
        <f>IF(H132&lt;&gt;"",1+MAX($A$5:A131),"")</f>
        <v>105</v>
      </c>
      <c r="B132" s="79"/>
      <c r="C132" s="69"/>
      <c r="D132" s="96" t="s">
        <v>139</v>
      </c>
      <c r="E132" s="109">
        <v>1</v>
      </c>
      <c r="F132" s="110"/>
      <c r="G132" s="111"/>
      <c r="H132" s="112" t="s">
        <v>3</v>
      </c>
      <c r="I132" s="19"/>
      <c r="J132" s="19"/>
      <c r="K132" s="31"/>
      <c r="L132" s="19"/>
      <c r="M132" s="32"/>
      <c r="N132" s="11"/>
      <c r="O132" s="11"/>
      <c r="P132" s="54"/>
      <c r="Q132" s="39"/>
      <c r="R132" s="39"/>
      <c r="U132" s="41"/>
    </row>
    <row r="133" spans="1:21" s="40" customFormat="1">
      <c r="A133" s="33">
        <f>IF(H133&lt;&gt;"",1+MAX($A$5:A132),"")</f>
        <v>106</v>
      </c>
      <c r="B133" s="79"/>
      <c r="C133" s="69"/>
      <c r="D133" s="27" t="s">
        <v>84</v>
      </c>
      <c r="E133" s="35">
        <f>(5*7*0.8333*E132)/27</f>
        <v>1.0802037037037038</v>
      </c>
      <c r="F133" s="36">
        <v>0</v>
      </c>
      <c r="G133" s="37">
        <f t="shared" ref="G133:G138" si="96">(1+F133)*E133</f>
        <v>1.0802037037037038</v>
      </c>
      <c r="H133" s="38" t="s">
        <v>85</v>
      </c>
      <c r="I133" s="97">
        <v>0</v>
      </c>
      <c r="J133" s="97">
        <f t="shared" ref="J133:J138" si="97">I133*G133</f>
        <v>0</v>
      </c>
      <c r="K133" s="31">
        <v>0.78</v>
      </c>
      <c r="L133" s="19">
        <f t="shared" ref="L133:L138" si="98">$O$25</f>
        <v>42</v>
      </c>
      <c r="M133" s="32">
        <f t="shared" ref="M133:M138" si="99">K133*G133</f>
        <v>0.84255888888888897</v>
      </c>
      <c r="N133" s="11">
        <f t="shared" ref="N133:N138" si="100">M133*L133</f>
        <v>35.38747333333334</v>
      </c>
      <c r="O133" s="11">
        <f t="shared" ref="O133:O138" si="101">N133+J133</f>
        <v>35.38747333333334</v>
      </c>
      <c r="P133" s="54"/>
      <c r="Q133" s="39"/>
      <c r="R133" s="39"/>
      <c r="U133" s="41"/>
    </row>
    <row r="134" spans="1:21" s="40" customFormat="1">
      <c r="A134" s="33">
        <f>IF(H134&lt;&gt;"",1+MAX($A$5:A133),"")</f>
        <v>107</v>
      </c>
      <c r="B134" s="79"/>
      <c r="C134" s="69"/>
      <c r="D134" s="27" t="s">
        <v>86</v>
      </c>
      <c r="E134" s="35">
        <f>5*7*E132</f>
        <v>35</v>
      </c>
      <c r="F134" s="36">
        <v>0</v>
      </c>
      <c r="G134" s="37">
        <f t="shared" si="96"/>
        <v>35</v>
      </c>
      <c r="H134" s="38" t="s">
        <v>32</v>
      </c>
      <c r="I134" s="97">
        <v>0</v>
      </c>
      <c r="J134" s="97">
        <f t="shared" si="97"/>
        <v>0</v>
      </c>
      <c r="K134" s="31">
        <v>3.4000000000000002E-2</v>
      </c>
      <c r="L134" s="19">
        <f t="shared" si="98"/>
        <v>42</v>
      </c>
      <c r="M134" s="32">
        <f t="shared" si="99"/>
        <v>1.1900000000000002</v>
      </c>
      <c r="N134" s="11">
        <f t="shared" si="100"/>
        <v>49.980000000000004</v>
      </c>
      <c r="O134" s="11">
        <f t="shared" si="101"/>
        <v>49.980000000000004</v>
      </c>
      <c r="P134" s="54"/>
      <c r="Q134" s="39"/>
      <c r="R134" s="39"/>
      <c r="U134" s="41"/>
    </row>
    <row r="135" spans="1:21" s="40" customFormat="1">
      <c r="A135" s="33">
        <f>IF(H135&lt;&gt;"",1+MAX($A$5:A134),"")</f>
        <v>108</v>
      </c>
      <c r="B135" s="79"/>
      <c r="C135" s="69"/>
      <c r="D135" s="27" t="s">
        <v>87</v>
      </c>
      <c r="E135" s="35">
        <f>21*0.8333*E132</f>
        <v>17.499300000000002</v>
      </c>
      <c r="F135" s="36">
        <v>0.08</v>
      </c>
      <c r="G135" s="37">
        <f t="shared" si="96"/>
        <v>18.899244000000003</v>
      </c>
      <c r="H135" s="38" t="s">
        <v>32</v>
      </c>
      <c r="I135" s="19">
        <v>1.5773999999999999</v>
      </c>
      <c r="J135" s="19">
        <f t="shared" si="97"/>
        <v>29.811667485600005</v>
      </c>
      <c r="K135" s="31">
        <v>4.5499999999999999E-2</v>
      </c>
      <c r="L135" s="19">
        <f t="shared" si="98"/>
        <v>42</v>
      </c>
      <c r="M135" s="32">
        <f t="shared" si="99"/>
        <v>0.85991560200000017</v>
      </c>
      <c r="N135" s="11">
        <f t="shared" si="100"/>
        <v>36.116455284000004</v>
      </c>
      <c r="O135" s="11">
        <f t="shared" si="101"/>
        <v>65.928122769600009</v>
      </c>
      <c r="P135" s="54"/>
      <c r="Q135" s="39"/>
      <c r="R135" s="39"/>
      <c r="U135" s="41"/>
    </row>
    <row r="136" spans="1:21" s="40" customFormat="1">
      <c r="A136" s="33">
        <f>IF(H136&lt;&gt;"",1+MAX($A$5:A135),"")</f>
        <v>109</v>
      </c>
      <c r="B136" s="79"/>
      <c r="C136" s="69"/>
      <c r="D136" s="27" t="s">
        <v>88</v>
      </c>
      <c r="E136" s="35">
        <f>(4*6.5*0.8333*E132)/27</f>
        <v>0.80243703703703706</v>
      </c>
      <c r="F136" s="36">
        <v>0.05</v>
      </c>
      <c r="G136" s="37">
        <f t="shared" si="96"/>
        <v>0.84255888888888897</v>
      </c>
      <c r="H136" s="38" t="s">
        <v>85</v>
      </c>
      <c r="I136" s="19">
        <v>463.65999999999997</v>
      </c>
      <c r="J136" s="19">
        <f t="shared" si="97"/>
        <v>390.66085442222226</v>
      </c>
      <c r="K136" s="31">
        <v>1.85</v>
      </c>
      <c r="L136" s="19">
        <f t="shared" si="98"/>
        <v>42</v>
      </c>
      <c r="M136" s="32">
        <f t="shared" si="99"/>
        <v>1.5587339444444446</v>
      </c>
      <c r="N136" s="11">
        <f t="shared" si="100"/>
        <v>65.466825666666665</v>
      </c>
      <c r="O136" s="11">
        <f t="shared" si="101"/>
        <v>456.12768008888895</v>
      </c>
      <c r="P136" s="54"/>
      <c r="Q136" s="39"/>
      <c r="R136" s="39"/>
      <c r="U136" s="41"/>
    </row>
    <row r="137" spans="1:21" s="40" customFormat="1">
      <c r="A137" s="33">
        <f>IF(H137&lt;&gt;"",1+MAX($A$5:A136),"")</f>
        <v>110</v>
      </c>
      <c r="B137" s="79"/>
      <c r="C137" s="69"/>
      <c r="D137" s="27" t="s">
        <v>89</v>
      </c>
      <c r="E137" s="35">
        <f>E133-E136</f>
        <v>0.27776666666666672</v>
      </c>
      <c r="F137" s="36">
        <v>0</v>
      </c>
      <c r="G137" s="37">
        <f t="shared" si="96"/>
        <v>0.27776666666666672</v>
      </c>
      <c r="H137" s="38" t="s">
        <v>85</v>
      </c>
      <c r="I137" s="97">
        <v>0</v>
      </c>
      <c r="J137" s="97">
        <f t="shared" si="97"/>
        <v>0</v>
      </c>
      <c r="K137" s="31">
        <v>0.7</v>
      </c>
      <c r="L137" s="19">
        <f t="shared" si="98"/>
        <v>42</v>
      </c>
      <c r="M137" s="32">
        <f t="shared" si="99"/>
        <v>0.1944366666666667</v>
      </c>
      <c r="N137" s="11">
        <f t="shared" si="100"/>
        <v>8.1663400000000017</v>
      </c>
      <c r="O137" s="11">
        <f t="shared" si="101"/>
        <v>8.1663400000000017</v>
      </c>
      <c r="P137" s="54"/>
      <c r="Q137" s="39"/>
      <c r="R137" s="39"/>
      <c r="U137" s="41"/>
    </row>
    <row r="138" spans="1:21" s="40" customFormat="1">
      <c r="A138" s="33">
        <f>IF(H138&lt;&gt;"",1+MAX($A$5:A137),"")</f>
        <v>111</v>
      </c>
      <c r="B138" s="79"/>
      <c r="C138" s="69"/>
      <c r="D138" s="27" t="s">
        <v>90</v>
      </c>
      <c r="E138" s="35">
        <f>E136</f>
        <v>0.80243703703703706</v>
      </c>
      <c r="F138" s="36">
        <v>0</v>
      </c>
      <c r="G138" s="37">
        <f t="shared" si="96"/>
        <v>0.80243703703703706</v>
      </c>
      <c r="H138" s="38" t="s">
        <v>85</v>
      </c>
      <c r="I138" s="97">
        <v>0</v>
      </c>
      <c r="J138" s="97">
        <f t="shared" si="97"/>
        <v>0</v>
      </c>
      <c r="K138" s="31">
        <v>0.83</v>
      </c>
      <c r="L138" s="19">
        <f t="shared" si="98"/>
        <v>42</v>
      </c>
      <c r="M138" s="32">
        <f t="shared" si="99"/>
        <v>0.66602274074074075</v>
      </c>
      <c r="N138" s="11">
        <f t="shared" si="100"/>
        <v>27.972955111111112</v>
      </c>
      <c r="O138" s="11">
        <f t="shared" si="101"/>
        <v>27.972955111111112</v>
      </c>
      <c r="P138" s="54"/>
      <c r="Q138" s="39"/>
      <c r="R138" s="39"/>
      <c r="U138" s="41"/>
    </row>
    <row r="139" spans="1:21" s="40" customFormat="1">
      <c r="A139" s="33" t="str">
        <f>IF(H139&lt;&gt;"",1+MAX($A$5:A138),"")</f>
        <v/>
      </c>
      <c r="B139" s="79"/>
      <c r="C139" s="69"/>
      <c r="D139" s="27" t="s">
        <v>96</v>
      </c>
      <c r="E139" s="35"/>
      <c r="F139" s="36"/>
      <c r="G139" s="37"/>
      <c r="H139" s="38"/>
      <c r="I139" s="19"/>
      <c r="J139" s="19"/>
      <c r="K139" s="31"/>
      <c r="L139" s="19"/>
      <c r="M139" s="32"/>
      <c r="N139" s="11"/>
      <c r="O139" s="11"/>
      <c r="P139" s="54"/>
      <c r="Q139" s="39"/>
      <c r="R139" s="39"/>
      <c r="U139" s="41"/>
    </row>
    <row r="140" spans="1:21" s="40" customFormat="1">
      <c r="A140" s="33" t="str">
        <f>IF(H140&lt;&gt;"",1+MAX($A$5:A139),"")</f>
        <v/>
      </c>
      <c r="B140" s="79"/>
      <c r="C140" s="69"/>
      <c r="D140" s="75" t="s">
        <v>140</v>
      </c>
      <c r="E140" s="35"/>
      <c r="F140" s="36"/>
      <c r="G140" s="37"/>
      <c r="H140" s="38"/>
      <c r="I140" s="19"/>
      <c r="J140" s="19"/>
      <c r="K140" s="31"/>
      <c r="L140" s="19"/>
      <c r="M140" s="32"/>
      <c r="N140" s="11"/>
      <c r="O140" s="11"/>
      <c r="P140" s="54"/>
      <c r="Q140" s="39"/>
      <c r="R140" s="39"/>
      <c r="U140" s="41"/>
    </row>
    <row r="141" spans="1:21" s="40" customFormat="1" ht="31.2">
      <c r="A141" s="33">
        <f>IF(H141&lt;&gt;"",1+MAX($A$5:A140),"")</f>
        <v>112</v>
      </c>
      <c r="B141" s="79"/>
      <c r="C141" s="69"/>
      <c r="D141" s="96" t="s">
        <v>141</v>
      </c>
      <c r="E141" s="109">
        <v>1017</v>
      </c>
      <c r="F141" s="110"/>
      <c r="G141" s="111"/>
      <c r="H141" s="112" t="s">
        <v>32</v>
      </c>
      <c r="I141" s="19"/>
      <c r="J141" s="19"/>
      <c r="K141" s="31"/>
      <c r="L141" s="19"/>
      <c r="M141" s="32"/>
      <c r="N141" s="11"/>
      <c r="O141" s="11"/>
      <c r="P141" s="54"/>
      <c r="Q141" s="39"/>
      <c r="R141" s="39"/>
      <c r="U141" s="41"/>
    </row>
    <row r="142" spans="1:21" s="40" customFormat="1">
      <c r="A142" s="33">
        <f>IF(H142&lt;&gt;"",1+MAX($A$5:A141),"")</f>
        <v>113</v>
      </c>
      <c r="B142" s="79"/>
      <c r="C142" s="69"/>
      <c r="D142" s="27" t="s">
        <v>84</v>
      </c>
      <c r="E142" s="35">
        <f>(E141*0.333)/27</f>
        <v>12.542999999999999</v>
      </c>
      <c r="F142" s="36">
        <v>0</v>
      </c>
      <c r="G142" s="37">
        <f t="shared" ref="G142:G147" si="102">(1+F142)*E142</f>
        <v>12.542999999999999</v>
      </c>
      <c r="H142" s="38" t="s">
        <v>85</v>
      </c>
      <c r="I142" s="97">
        <v>0</v>
      </c>
      <c r="J142" s="97">
        <f t="shared" ref="J142:J143" si="103">I142*G142</f>
        <v>0</v>
      </c>
      <c r="K142" s="31">
        <v>0.78</v>
      </c>
      <c r="L142" s="19">
        <f t="shared" ref="L142:L147" si="104">$O$25</f>
        <v>42</v>
      </c>
      <c r="M142" s="32">
        <f t="shared" ref="M142:M147" si="105">K142*G142</f>
        <v>9.7835400000000003</v>
      </c>
      <c r="N142" s="11">
        <f t="shared" ref="N142:N147" si="106">M142*L142</f>
        <v>410.90868</v>
      </c>
      <c r="O142" s="11">
        <f t="shared" ref="O142:O147" si="107">N142+J142</f>
        <v>410.90868</v>
      </c>
      <c r="P142" s="54"/>
      <c r="Q142" s="39"/>
      <c r="R142" s="39"/>
      <c r="U142" s="41"/>
    </row>
    <row r="143" spans="1:21" s="40" customFormat="1">
      <c r="A143" s="33">
        <f>IF(H143&lt;&gt;"",1+MAX($A$5:A142),"")</f>
        <v>114</v>
      </c>
      <c r="B143" s="79"/>
      <c r="C143" s="69"/>
      <c r="D143" s="27" t="s">
        <v>86</v>
      </c>
      <c r="E143" s="35">
        <f>E141</f>
        <v>1017</v>
      </c>
      <c r="F143" s="36">
        <v>0</v>
      </c>
      <c r="G143" s="37">
        <f t="shared" si="102"/>
        <v>1017</v>
      </c>
      <c r="H143" s="38" t="s">
        <v>32</v>
      </c>
      <c r="I143" s="97">
        <v>0</v>
      </c>
      <c r="J143" s="97">
        <f t="shared" si="103"/>
        <v>0</v>
      </c>
      <c r="K143" s="31">
        <v>3.4000000000000002E-2</v>
      </c>
      <c r="L143" s="19">
        <f t="shared" si="104"/>
        <v>42</v>
      </c>
      <c r="M143" s="32">
        <f t="shared" si="105"/>
        <v>34.578000000000003</v>
      </c>
      <c r="N143" s="11">
        <f t="shared" si="106"/>
        <v>1452.2760000000001</v>
      </c>
      <c r="O143" s="11">
        <f t="shared" si="107"/>
        <v>1452.2760000000001</v>
      </c>
      <c r="P143" s="54"/>
      <c r="Q143" s="39"/>
      <c r="R143" s="39"/>
      <c r="U143" s="41"/>
    </row>
    <row r="144" spans="1:21" s="40" customFormat="1">
      <c r="A144" s="33">
        <f>IF(H144&lt;&gt;"",1+MAX($A$5:A143),"")</f>
        <v>115</v>
      </c>
      <c r="B144" s="79"/>
      <c r="C144" s="69"/>
      <c r="D144" s="27" t="s">
        <v>92</v>
      </c>
      <c r="E144" s="35">
        <f>(E143*0.333)/27</f>
        <v>12.542999999999999</v>
      </c>
      <c r="F144" s="36">
        <v>0.05</v>
      </c>
      <c r="G144" s="37">
        <f t="shared" si="102"/>
        <v>13.17015</v>
      </c>
      <c r="H144" s="38" t="s">
        <v>85</v>
      </c>
      <c r="I144" s="19">
        <v>30.591999999999999</v>
      </c>
      <c r="J144" s="19">
        <f t="shared" ref="J144:J147" si="108">I144*G144</f>
        <v>402.90122879999996</v>
      </c>
      <c r="K144" s="31">
        <v>1</v>
      </c>
      <c r="L144" s="19">
        <f t="shared" si="104"/>
        <v>42</v>
      </c>
      <c r="M144" s="32">
        <f t="shared" si="105"/>
        <v>13.17015</v>
      </c>
      <c r="N144" s="11">
        <f t="shared" si="106"/>
        <v>553.1463</v>
      </c>
      <c r="O144" s="11">
        <f t="shared" si="107"/>
        <v>956.04752880000001</v>
      </c>
      <c r="P144" s="54"/>
      <c r="Q144" s="39"/>
      <c r="R144" s="39"/>
      <c r="U144" s="41"/>
    </row>
    <row r="145" spans="1:21" s="40" customFormat="1">
      <c r="A145" s="33">
        <f>IF(H145&lt;&gt;"",1+MAX($A$5:A144),"")</f>
        <v>116</v>
      </c>
      <c r="B145" s="79"/>
      <c r="C145" s="69"/>
      <c r="D145" s="27" t="s">
        <v>93</v>
      </c>
      <c r="E145" s="35">
        <f>E141</f>
        <v>1017</v>
      </c>
      <c r="F145" s="36">
        <v>0.08</v>
      </c>
      <c r="G145" s="37">
        <f t="shared" si="102"/>
        <v>1098.3600000000001</v>
      </c>
      <c r="H145" s="38" t="s">
        <v>32</v>
      </c>
      <c r="I145" s="19">
        <v>0.64051999999999998</v>
      </c>
      <c r="J145" s="19">
        <f t="shared" si="108"/>
        <v>703.5215472000001</v>
      </c>
      <c r="K145" s="31">
        <v>0.02</v>
      </c>
      <c r="L145" s="19">
        <f t="shared" si="104"/>
        <v>42</v>
      </c>
      <c r="M145" s="32">
        <f t="shared" si="105"/>
        <v>21.967200000000002</v>
      </c>
      <c r="N145" s="11">
        <f t="shared" si="106"/>
        <v>922.62240000000008</v>
      </c>
      <c r="O145" s="11">
        <f t="shared" si="107"/>
        <v>1626.1439472000002</v>
      </c>
      <c r="P145" s="54"/>
      <c r="Q145" s="39"/>
      <c r="R145" s="39"/>
      <c r="U145" s="41"/>
    </row>
    <row r="146" spans="1:21" s="40" customFormat="1">
      <c r="A146" s="33">
        <f>IF(H146&lt;&gt;"",1+MAX($A$5:A145),"")</f>
        <v>117</v>
      </c>
      <c r="B146" s="79"/>
      <c r="C146" s="69"/>
      <c r="D146" s="27" t="s">
        <v>94</v>
      </c>
      <c r="E146" s="35">
        <f>(E145*0.333)/27</f>
        <v>12.542999999999999</v>
      </c>
      <c r="F146" s="36">
        <v>0.05</v>
      </c>
      <c r="G146" s="37">
        <f t="shared" si="102"/>
        <v>13.17015</v>
      </c>
      <c r="H146" s="38" t="s">
        <v>85</v>
      </c>
      <c r="I146" s="19">
        <v>463.65999999999997</v>
      </c>
      <c r="J146" s="19">
        <f t="shared" si="108"/>
        <v>6106.4717489999994</v>
      </c>
      <c r="K146" s="31">
        <v>1.85</v>
      </c>
      <c r="L146" s="19">
        <f t="shared" si="104"/>
        <v>42</v>
      </c>
      <c r="M146" s="32">
        <f t="shared" si="105"/>
        <v>24.364777499999999</v>
      </c>
      <c r="N146" s="11">
        <f t="shared" si="106"/>
        <v>1023.320655</v>
      </c>
      <c r="O146" s="11">
        <f t="shared" si="107"/>
        <v>7129.7924039999998</v>
      </c>
      <c r="P146" s="54"/>
      <c r="Q146" s="39"/>
      <c r="R146" s="39"/>
      <c r="U146" s="41"/>
    </row>
    <row r="147" spans="1:21" s="40" customFormat="1">
      <c r="A147" s="33">
        <f>IF(H147&lt;&gt;"",1+MAX($A$5:A146),"")</f>
        <v>118</v>
      </c>
      <c r="B147" s="79"/>
      <c r="C147" s="69"/>
      <c r="D147" s="27" t="s">
        <v>95</v>
      </c>
      <c r="E147" s="35">
        <f>E141</f>
        <v>1017</v>
      </c>
      <c r="F147" s="36">
        <v>0.08</v>
      </c>
      <c r="G147" s="37">
        <f t="shared" si="102"/>
        <v>1098.3600000000001</v>
      </c>
      <c r="H147" s="38" t="s">
        <v>32</v>
      </c>
      <c r="I147" s="19">
        <v>1.0324800000000001</v>
      </c>
      <c r="J147" s="19">
        <f t="shared" si="108"/>
        <v>1134.0347328000003</v>
      </c>
      <c r="K147" s="31">
        <v>0.03</v>
      </c>
      <c r="L147" s="19">
        <f t="shared" si="104"/>
        <v>42</v>
      </c>
      <c r="M147" s="32">
        <f t="shared" si="105"/>
        <v>32.950800000000001</v>
      </c>
      <c r="N147" s="11">
        <f t="shared" si="106"/>
        <v>1383.9336000000001</v>
      </c>
      <c r="O147" s="11">
        <f t="shared" si="107"/>
        <v>2517.9683328000001</v>
      </c>
      <c r="P147" s="54"/>
      <c r="Q147" s="39"/>
      <c r="R147" s="39"/>
      <c r="U147" s="41"/>
    </row>
    <row r="148" spans="1:21" s="40" customFormat="1">
      <c r="A148" s="33" t="str">
        <f>IF(H148&lt;&gt;"",1+MAX($A$5:A147),"")</f>
        <v/>
      </c>
      <c r="B148" s="79"/>
      <c r="C148" s="69"/>
      <c r="D148" s="27" t="s">
        <v>96</v>
      </c>
      <c r="E148" s="35"/>
      <c r="F148" s="36"/>
      <c r="G148" s="37"/>
      <c r="H148" s="38"/>
      <c r="I148" s="19"/>
      <c r="J148" s="19"/>
      <c r="K148" s="31"/>
      <c r="L148" s="19"/>
      <c r="M148" s="32"/>
      <c r="N148" s="11"/>
      <c r="O148" s="11"/>
      <c r="P148" s="54"/>
      <c r="Q148" s="39"/>
      <c r="R148" s="39"/>
      <c r="U148" s="41"/>
    </row>
    <row r="149" spans="1:21" s="40" customFormat="1" ht="31.2">
      <c r="A149" s="33">
        <f>IF(H149&lt;&gt;"",1+MAX($A$5:A148),"")</f>
        <v>119</v>
      </c>
      <c r="B149" s="79"/>
      <c r="C149" s="69"/>
      <c r="D149" s="96" t="s">
        <v>142</v>
      </c>
      <c r="E149" s="109">
        <v>824</v>
      </c>
      <c r="F149" s="110"/>
      <c r="G149" s="111"/>
      <c r="H149" s="112" t="s">
        <v>32</v>
      </c>
      <c r="I149" s="19"/>
      <c r="J149" s="19"/>
      <c r="K149" s="31"/>
      <c r="L149" s="19"/>
      <c r="M149" s="32"/>
      <c r="N149" s="11"/>
      <c r="O149" s="11"/>
      <c r="P149" s="54"/>
      <c r="Q149" s="39"/>
      <c r="R149" s="39"/>
      <c r="U149" s="41"/>
    </row>
    <row r="150" spans="1:21" s="40" customFormat="1">
      <c r="A150" s="33">
        <f>IF(H150&lt;&gt;"",1+MAX($A$5:A149),"")</f>
        <v>120</v>
      </c>
      <c r="B150" s="79"/>
      <c r="C150" s="69"/>
      <c r="D150" s="27" t="s">
        <v>84</v>
      </c>
      <c r="E150" s="35">
        <f>(E149*0.333)/27</f>
        <v>10.162666666666667</v>
      </c>
      <c r="F150" s="36">
        <v>0</v>
      </c>
      <c r="G150" s="37">
        <f t="shared" ref="G150:G155" si="109">(1+F150)*E150</f>
        <v>10.162666666666667</v>
      </c>
      <c r="H150" s="38" t="s">
        <v>85</v>
      </c>
      <c r="I150" s="97">
        <v>0</v>
      </c>
      <c r="J150" s="97">
        <f t="shared" ref="J150:J155" si="110">I150*G150</f>
        <v>0</v>
      </c>
      <c r="K150" s="31">
        <v>0.78</v>
      </c>
      <c r="L150" s="19">
        <f t="shared" ref="L150:L155" si="111">$O$25</f>
        <v>42</v>
      </c>
      <c r="M150" s="32">
        <f t="shared" ref="M150:M155" si="112">K150*G150</f>
        <v>7.9268800000000006</v>
      </c>
      <c r="N150" s="11">
        <f t="shared" ref="N150:N155" si="113">M150*L150</f>
        <v>332.92896000000002</v>
      </c>
      <c r="O150" s="11">
        <f t="shared" ref="O150:O155" si="114">N150+J150</f>
        <v>332.92896000000002</v>
      </c>
      <c r="P150" s="54"/>
      <c r="Q150" s="39"/>
      <c r="R150" s="39"/>
      <c r="U150" s="41"/>
    </row>
    <row r="151" spans="1:21" s="40" customFormat="1">
      <c r="A151" s="33">
        <f>IF(H151&lt;&gt;"",1+MAX($A$5:A150),"")</f>
        <v>121</v>
      </c>
      <c r="B151" s="79"/>
      <c r="C151" s="69"/>
      <c r="D151" s="27" t="s">
        <v>86</v>
      </c>
      <c r="E151" s="35">
        <f>E149</f>
        <v>824</v>
      </c>
      <c r="F151" s="36">
        <v>0</v>
      </c>
      <c r="G151" s="37">
        <f t="shared" si="109"/>
        <v>824</v>
      </c>
      <c r="H151" s="38" t="s">
        <v>32</v>
      </c>
      <c r="I151" s="97">
        <v>0</v>
      </c>
      <c r="J151" s="97">
        <f t="shared" si="110"/>
        <v>0</v>
      </c>
      <c r="K151" s="31">
        <v>3.4000000000000002E-2</v>
      </c>
      <c r="L151" s="19">
        <f t="shared" si="111"/>
        <v>42</v>
      </c>
      <c r="M151" s="32">
        <f t="shared" si="112"/>
        <v>28.016000000000002</v>
      </c>
      <c r="N151" s="11">
        <f t="shared" si="113"/>
        <v>1176.672</v>
      </c>
      <c r="O151" s="11">
        <f t="shared" si="114"/>
        <v>1176.672</v>
      </c>
      <c r="P151" s="54"/>
      <c r="Q151" s="39"/>
      <c r="R151" s="39"/>
      <c r="U151" s="41"/>
    </row>
    <row r="152" spans="1:21" s="40" customFormat="1">
      <c r="A152" s="33">
        <f>IF(H152&lt;&gt;"",1+MAX($A$5:A151),"")</f>
        <v>122</v>
      </c>
      <c r="B152" s="79"/>
      <c r="C152" s="69"/>
      <c r="D152" s="27" t="s">
        <v>92</v>
      </c>
      <c r="E152" s="35">
        <f>(E151*0.333)/27</f>
        <v>10.162666666666667</v>
      </c>
      <c r="F152" s="36">
        <v>0.05</v>
      </c>
      <c r="G152" s="37">
        <f t="shared" si="109"/>
        <v>10.6708</v>
      </c>
      <c r="H152" s="38" t="s">
        <v>85</v>
      </c>
      <c r="I152" s="19">
        <v>30.591999999999999</v>
      </c>
      <c r="J152" s="19">
        <f t="shared" si="110"/>
        <v>326.44111359999999</v>
      </c>
      <c r="K152" s="31">
        <v>1</v>
      </c>
      <c r="L152" s="19">
        <f t="shared" si="111"/>
        <v>42</v>
      </c>
      <c r="M152" s="32">
        <f t="shared" si="112"/>
        <v>10.6708</v>
      </c>
      <c r="N152" s="11">
        <f t="shared" si="113"/>
        <v>448.17359999999996</v>
      </c>
      <c r="O152" s="11">
        <f t="shared" si="114"/>
        <v>774.61471359999996</v>
      </c>
      <c r="P152" s="54"/>
      <c r="Q152" s="39"/>
      <c r="R152" s="39"/>
      <c r="U152" s="41"/>
    </row>
    <row r="153" spans="1:21" s="40" customFormat="1">
      <c r="A153" s="33">
        <f>IF(H153&lt;&gt;"",1+MAX($A$5:A152),"")</f>
        <v>123</v>
      </c>
      <c r="B153" s="79"/>
      <c r="C153" s="69"/>
      <c r="D153" s="27" t="s">
        <v>93</v>
      </c>
      <c r="E153" s="35">
        <f>E149</f>
        <v>824</v>
      </c>
      <c r="F153" s="36">
        <v>0.08</v>
      </c>
      <c r="G153" s="37">
        <f t="shared" si="109"/>
        <v>889.92000000000007</v>
      </c>
      <c r="H153" s="38" t="s">
        <v>32</v>
      </c>
      <c r="I153" s="19">
        <v>0.64051999999999998</v>
      </c>
      <c r="J153" s="19">
        <f t="shared" si="110"/>
        <v>570.01155840000001</v>
      </c>
      <c r="K153" s="31">
        <v>0.02</v>
      </c>
      <c r="L153" s="19">
        <f t="shared" si="111"/>
        <v>42</v>
      </c>
      <c r="M153" s="32">
        <f t="shared" si="112"/>
        <v>17.798400000000001</v>
      </c>
      <c r="N153" s="11">
        <f t="shared" si="113"/>
        <v>747.53280000000007</v>
      </c>
      <c r="O153" s="11">
        <f t="shared" si="114"/>
        <v>1317.5443584</v>
      </c>
      <c r="P153" s="54"/>
      <c r="Q153" s="39"/>
      <c r="R153" s="39"/>
      <c r="U153" s="41"/>
    </row>
    <row r="154" spans="1:21" s="40" customFormat="1">
      <c r="A154" s="33">
        <f>IF(H154&lt;&gt;"",1+MAX($A$5:A153),"")</f>
        <v>124</v>
      </c>
      <c r="B154" s="79"/>
      <c r="C154" s="69"/>
      <c r="D154" s="27" t="s">
        <v>94</v>
      </c>
      <c r="E154" s="35">
        <f>(E153*0.333)/27</f>
        <v>10.162666666666667</v>
      </c>
      <c r="F154" s="36">
        <v>0.05</v>
      </c>
      <c r="G154" s="37">
        <f t="shared" si="109"/>
        <v>10.6708</v>
      </c>
      <c r="H154" s="38" t="s">
        <v>85</v>
      </c>
      <c r="I154" s="19">
        <v>463.65999999999997</v>
      </c>
      <c r="J154" s="19">
        <f t="shared" si="110"/>
        <v>4947.6231279999993</v>
      </c>
      <c r="K154" s="31">
        <v>1.85</v>
      </c>
      <c r="L154" s="19">
        <f t="shared" si="111"/>
        <v>42</v>
      </c>
      <c r="M154" s="32">
        <f t="shared" si="112"/>
        <v>19.74098</v>
      </c>
      <c r="N154" s="11">
        <f t="shared" si="113"/>
        <v>829.12116000000003</v>
      </c>
      <c r="O154" s="11">
        <f t="shared" si="114"/>
        <v>5776.744287999999</v>
      </c>
      <c r="P154" s="54"/>
      <c r="Q154" s="39"/>
      <c r="R154" s="39"/>
      <c r="U154" s="41"/>
    </row>
    <row r="155" spans="1:21" s="40" customFormat="1">
      <c r="A155" s="33">
        <f>IF(H155&lt;&gt;"",1+MAX($A$5:A154),"")</f>
        <v>125</v>
      </c>
      <c r="B155" s="79"/>
      <c r="C155" s="69"/>
      <c r="D155" s="27" t="s">
        <v>95</v>
      </c>
      <c r="E155" s="35">
        <f>E149</f>
        <v>824</v>
      </c>
      <c r="F155" s="36">
        <v>0.08</v>
      </c>
      <c r="G155" s="37">
        <f t="shared" si="109"/>
        <v>889.92000000000007</v>
      </c>
      <c r="H155" s="38" t="s">
        <v>32</v>
      </c>
      <c r="I155" s="19">
        <v>1.0324800000000001</v>
      </c>
      <c r="J155" s="19">
        <f t="shared" si="110"/>
        <v>918.82460160000016</v>
      </c>
      <c r="K155" s="31">
        <v>0.03</v>
      </c>
      <c r="L155" s="19">
        <f t="shared" si="111"/>
        <v>42</v>
      </c>
      <c r="M155" s="32">
        <f t="shared" si="112"/>
        <v>26.697600000000001</v>
      </c>
      <c r="N155" s="11">
        <f t="shared" si="113"/>
        <v>1121.2992000000002</v>
      </c>
      <c r="O155" s="11">
        <f t="shared" si="114"/>
        <v>2040.1238016000002</v>
      </c>
      <c r="P155" s="54"/>
      <c r="Q155" s="39"/>
      <c r="R155" s="39"/>
      <c r="U155" s="41"/>
    </row>
    <row r="156" spans="1:21" s="40" customFormat="1">
      <c r="A156" s="33" t="str">
        <f>IF(H156&lt;&gt;"",1+MAX($A$5:A155),"")</f>
        <v/>
      </c>
      <c r="B156" s="79"/>
      <c r="C156" s="69"/>
      <c r="D156" s="27" t="s">
        <v>96</v>
      </c>
      <c r="E156" s="35"/>
      <c r="F156" s="36"/>
      <c r="G156" s="37"/>
      <c r="H156" s="38"/>
      <c r="I156" s="19"/>
      <c r="J156" s="19"/>
      <c r="K156" s="31"/>
      <c r="L156" s="19"/>
      <c r="M156" s="32"/>
      <c r="N156" s="11"/>
      <c r="O156" s="11"/>
      <c r="P156" s="54"/>
      <c r="Q156" s="39"/>
      <c r="R156" s="39"/>
      <c r="U156" s="41"/>
    </row>
    <row r="157" spans="1:21" s="40" customFormat="1">
      <c r="A157" s="33" t="str">
        <f>IF(H157&lt;&gt;"",1+MAX($A$5:A156),"")</f>
        <v/>
      </c>
      <c r="B157" s="79"/>
      <c r="C157" s="69"/>
      <c r="D157" s="75" t="s">
        <v>143</v>
      </c>
      <c r="E157" s="35"/>
      <c r="F157" s="36"/>
      <c r="G157" s="37"/>
      <c r="H157" s="38"/>
      <c r="I157" s="19"/>
      <c r="J157" s="19"/>
      <c r="K157" s="31"/>
      <c r="L157" s="19"/>
      <c r="M157" s="32"/>
      <c r="N157" s="11"/>
      <c r="O157" s="11"/>
      <c r="P157" s="54"/>
      <c r="Q157" s="39"/>
      <c r="R157" s="39"/>
      <c r="U157" s="41"/>
    </row>
    <row r="158" spans="1:21" s="40" customFormat="1">
      <c r="A158" s="33">
        <f>IF(H158&lt;&gt;"",1+MAX($A$5:A157),"")</f>
        <v>126</v>
      </c>
      <c r="B158" s="79"/>
      <c r="C158" s="69"/>
      <c r="D158" s="27" t="s">
        <v>144</v>
      </c>
      <c r="E158" s="35">
        <v>6</v>
      </c>
      <c r="F158" s="36">
        <v>0</v>
      </c>
      <c r="G158" s="37">
        <f>(1+F158)*E158</f>
        <v>6</v>
      </c>
      <c r="H158" s="38" t="s">
        <v>3</v>
      </c>
      <c r="I158" s="19">
        <v>12.84864</v>
      </c>
      <c r="J158" s="19">
        <f t="shared" ref="J158:J160" si="115">I158*G158</f>
        <v>77.091839999999991</v>
      </c>
      <c r="K158" s="31">
        <v>0.3</v>
      </c>
      <c r="L158" s="19">
        <f t="shared" ref="L158:L160" si="116">$O$25</f>
        <v>42</v>
      </c>
      <c r="M158" s="32">
        <f t="shared" ref="M158:M160" si="117">K158*G158</f>
        <v>1.7999999999999998</v>
      </c>
      <c r="N158" s="11">
        <f t="shared" ref="N158:N160" si="118">M158*L158</f>
        <v>75.599999999999994</v>
      </c>
      <c r="O158" s="11">
        <f t="shared" ref="O158:O160" si="119">N158+J158</f>
        <v>152.69183999999998</v>
      </c>
      <c r="P158" s="54"/>
      <c r="Q158" s="39"/>
      <c r="R158" s="39"/>
      <c r="U158" s="41"/>
    </row>
    <row r="159" spans="1:21" s="40" customFormat="1">
      <c r="A159" s="33">
        <f>IF(H159&lt;&gt;"",1+MAX($A$5:A158),"")</f>
        <v>127</v>
      </c>
      <c r="B159" s="79"/>
      <c r="C159" s="69"/>
      <c r="D159" s="27" t="s">
        <v>145</v>
      </c>
      <c r="E159" s="35">
        <v>41</v>
      </c>
      <c r="F159" s="36">
        <v>0</v>
      </c>
      <c r="G159" s="37">
        <f>(1+F159)*E159</f>
        <v>41</v>
      </c>
      <c r="H159" s="38" t="s">
        <v>3</v>
      </c>
      <c r="I159" s="19">
        <v>21.146719999999998</v>
      </c>
      <c r="J159" s="19">
        <f t="shared" si="115"/>
        <v>867.01551999999992</v>
      </c>
      <c r="K159" s="31">
        <v>0.3</v>
      </c>
      <c r="L159" s="19">
        <f t="shared" si="116"/>
        <v>42</v>
      </c>
      <c r="M159" s="32">
        <f t="shared" si="117"/>
        <v>12.299999999999999</v>
      </c>
      <c r="N159" s="11">
        <f t="shared" si="118"/>
        <v>516.59999999999991</v>
      </c>
      <c r="O159" s="11">
        <f t="shared" si="119"/>
        <v>1383.6155199999998</v>
      </c>
      <c r="P159" s="54"/>
      <c r="Q159" s="39"/>
      <c r="R159" s="39"/>
      <c r="U159" s="41"/>
    </row>
    <row r="160" spans="1:21" s="40" customFormat="1">
      <c r="A160" s="33">
        <f>IF(H160&lt;&gt;"",1+MAX($A$5:A159),"")</f>
        <v>128</v>
      </c>
      <c r="B160" s="79"/>
      <c r="C160" s="69"/>
      <c r="D160" s="27" t="s">
        <v>146</v>
      </c>
      <c r="E160" s="35">
        <v>12</v>
      </c>
      <c r="F160" s="36">
        <v>0</v>
      </c>
      <c r="G160" s="37">
        <f>(1+F160)*E160</f>
        <v>12</v>
      </c>
      <c r="H160" s="38" t="s">
        <v>3</v>
      </c>
      <c r="I160" s="19">
        <v>13.6708</v>
      </c>
      <c r="J160" s="19">
        <f t="shared" si="115"/>
        <v>164.0496</v>
      </c>
      <c r="K160" s="31">
        <v>0.34399999999999997</v>
      </c>
      <c r="L160" s="19">
        <f t="shared" si="116"/>
        <v>42</v>
      </c>
      <c r="M160" s="32">
        <f t="shared" si="117"/>
        <v>4.1280000000000001</v>
      </c>
      <c r="N160" s="11">
        <f t="shared" si="118"/>
        <v>173.376</v>
      </c>
      <c r="O160" s="11">
        <f t="shared" si="119"/>
        <v>337.42560000000003</v>
      </c>
      <c r="P160" s="54"/>
      <c r="Q160" s="39"/>
      <c r="R160" s="39"/>
      <c r="U160" s="41"/>
    </row>
    <row r="161" spans="1:21" s="40" customFormat="1">
      <c r="A161" s="33" t="str">
        <f>IF(H161&lt;&gt;"",1+MAX($A$5:A160),"")</f>
        <v/>
      </c>
      <c r="B161" s="79"/>
      <c r="C161" s="69"/>
      <c r="D161" s="27"/>
      <c r="E161" s="35"/>
      <c r="F161" s="36"/>
      <c r="G161" s="37"/>
      <c r="H161" s="38"/>
      <c r="I161" s="19"/>
      <c r="J161" s="19"/>
      <c r="K161" s="31"/>
      <c r="L161" s="19"/>
      <c r="M161" s="32"/>
      <c r="N161" s="11"/>
      <c r="O161" s="11"/>
      <c r="P161" s="54"/>
      <c r="Q161" s="39"/>
      <c r="R161" s="39"/>
      <c r="U161" s="41"/>
    </row>
    <row r="162" spans="1:21" s="107" customFormat="1" ht="18">
      <c r="A162" s="98" t="str">
        <f>IF(H162&lt;&gt;"",1+MAX($A$5:A162),"")</f>
        <v/>
      </c>
      <c r="B162" s="99"/>
      <c r="C162" s="99"/>
      <c r="D162" s="100" t="s">
        <v>97</v>
      </c>
      <c r="E162" s="101"/>
      <c r="F162" s="102"/>
      <c r="G162" s="103"/>
      <c r="H162" s="102"/>
      <c r="I162" s="102"/>
      <c r="J162" s="102"/>
      <c r="K162" s="102"/>
      <c r="L162" s="102"/>
      <c r="M162" s="102"/>
      <c r="N162" s="104"/>
      <c r="O162" s="102"/>
      <c r="P162" s="105">
        <f>SUM(O165:O205)</f>
        <v>20888.716520000002</v>
      </c>
      <c r="Q162" s="39"/>
      <c r="R162" s="106"/>
      <c r="U162" s="108"/>
    </row>
    <row r="163" spans="1:21" s="3" customFormat="1">
      <c r="A163" s="33" t="str">
        <f>IF(H163&lt;&gt;"",1+MAX($A$5:A162),"")</f>
        <v/>
      </c>
      <c r="B163" s="62"/>
      <c r="C163" s="68"/>
      <c r="D163" s="63"/>
      <c r="E163" s="15"/>
      <c r="F163" s="16"/>
      <c r="G163" s="21"/>
      <c r="H163" s="17"/>
      <c r="I163" s="17"/>
      <c r="J163" s="17"/>
      <c r="K163" s="17"/>
      <c r="L163" s="17"/>
      <c r="M163" s="17"/>
      <c r="N163" s="82" t="s">
        <v>20</v>
      </c>
      <c r="O163" s="29">
        <v>45</v>
      </c>
      <c r="P163" s="54"/>
      <c r="Q163" s="39"/>
      <c r="R163" s="2"/>
      <c r="U163" s="14"/>
    </row>
    <row r="164" spans="1:21" s="40" customFormat="1">
      <c r="A164" s="33" t="str">
        <f>IF(H164&lt;&gt;"",1+MAX($A$5:A163),"")</f>
        <v/>
      </c>
      <c r="B164" s="79"/>
      <c r="C164" s="69"/>
      <c r="D164" s="75" t="s">
        <v>98</v>
      </c>
      <c r="E164" s="35"/>
      <c r="F164" s="36"/>
      <c r="G164" s="37"/>
      <c r="H164" s="38"/>
      <c r="I164" s="19"/>
      <c r="J164" s="19"/>
      <c r="K164" s="31"/>
      <c r="L164" s="19"/>
      <c r="M164" s="32"/>
      <c r="N164" s="11"/>
      <c r="O164" s="11"/>
      <c r="P164" s="54"/>
      <c r="Q164" s="39"/>
      <c r="R164" s="39"/>
      <c r="U164" s="41"/>
    </row>
    <row r="165" spans="1:21" s="40" customFormat="1">
      <c r="A165" s="33" t="str">
        <f>IF(H165&lt;&gt;"",1+MAX($A$5:A164),"")</f>
        <v/>
      </c>
      <c r="B165" s="79"/>
      <c r="C165" s="69"/>
      <c r="D165" s="94" t="s">
        <v>147</v>
      </c>
      <c r="E165" s="35"/>
      <c r="F165" s="36"/>
      <c r="G165" s="37"/>
      <c r="H165" s="38"/>
      <c r="I165" s="19"/>
      <c r="J165" s="19"/>
      <c r="K165" s="31"/>
      <c r="L165" s="19"/>
      <c r="M165" s="32"/>
      <c r="N165" s="11"/>
      <c r="O165" s="11"/>
      <c r="P165" s="54"/>
      <c r="Q165" s="39"/>
      <c r="R165" s="39"/>
      <c r="U165" s="41"/>
    </row>
    <row r="166" spans="1:21" s="40" customFormat="1">
      <c r="A166" s="33">
        <f>IF(H166&lt;&gt;"",1+MAX($A$5:A165),"")</f>
        <v>129</v>
      </c>
      <c r="B166" s="79"/>
      <c r="C166" s="69"/>
      <c r="D166" s="27" t="s">
        <v>148</v>
      </c>
      <c r="E166" s="35">
        <v>1107</v>
      </c>
      <c r="F166" s="36">
        <v>0</v>
      </c>
      <c r="G166" s="37">
        <f t="shared" ref="G166:G198" si="120">(1+F166)*E166</f>
        <v>1107</v>
      </c>
      <c r="H166" s="38" t="s">
        <v>3</v>
      </c>
      <c r="I166" s="19">
        <v>2.0267200000000001</v>
      </c>
      <c r="J166" s="19">
        <f t="shared" ref="J166" si="121">I166*G166</f>
        <v>2243.5790400000001</v>
      </c>
      <c r="K166" s="31">
        <v>8.8999999999999999E-3</v>
      </c>
      <c r="L166" s="19">
        <f>$O$163</f>
        <v>45</v>
      </c>
      <c r="M166" s="32">
        <f t="shared" ref="M166" si="122">K166*G166</f>
        <v>9.8522999999999996</v>
      </c>
      <c r="N166" s="11">
        <f t="shared" ref="N166" si="123">M166*L166</f>
        <v>443.3535</v>
      </c>
      <c r="O166" s="11">
        <f t="shared" ref="O166" si="124">N166+J166</f>
        <v>2686.9325400000002</v>
      </c>
      <c r="P166" s="54"/>
      <c r="Q166" s="39"/>
      <c r="R166" s="39"/>
      <c r="U166" s="41"/>
    </row>
    <row r="167" spans="1:21" s="40" customFormat="1">
      <c r="A167" s="33">
        <f>IF(H167&lt;&gt;"",1+MAX($A$5:A166),"")</f>
        <v>130</v>
      </c>
      <c r="B167" s="79"/>
      <c r="C167" s="69"/>
      <c r="D167" s="27" t="s">
        <v>149</v>
      </c>
      <c r="E167" s="35">
        <v>408</v>
      </c>
      <c r="F167" s="36">
        <v>0</v>
      </c>
      <c r="G167" s="37">
        <f t="shared" si="120"/>
        <v>408</v>
      </c>
      <c r="H167" s="38" t="s">
        <v>3</v>
      </c>
      <c r="I167" s="19">
        <v>2.33264</v>
      </c>
      <c r="J167" s="19">
        <f t="shared" ref="J167:J198" si="125">I167*G167</f>
        <v>951.71712000000002</v>
      </c>
      <c r="K167" s="31">
        <v>8.8999999999999999E-3</v>
      </c>
      <c r="L167" s="19">
        <f t="shared" ref="L167:L198" si="126">$O$163</f>
        <v>45</v>
      </c>
      <c r="M167" s="32">
        <f t="shared" ref="M167:M198" si="127">K167*G167</f>
        <v>3.6311999999999998</v>
      </c>
      <c r="N167" s="11">
        <f t="shared" ref="N167:N198" si="128">M167*L167</f>
        <v>163.404</v>
      </c>
      <c r="O167" s="11">
        <f t="shared" ref="O167:O198" si="129">N167+J167</f>
        <v>1115.12112</v>
      </c>
      <c r="P167" s="54"/>
      <c r="Q167" s="39"/>
      <c r="R167" s="39"/>
      <c r="U167" s="41"/>
    </row>
    <row r="168" spans="1:21" s="40" customFormat="1">
      <c r="A168" s="33">
        <f>IF(H168&lt;&gt;"",1+MAX($A$5:A167),"")</f>
        <v>131</v>
      </c>
      <c r="B168" s="79"/>
      <c r="C168" s="69"/>
      <c r="D168" s="27" t="s">
        <v>150</v>
      </c>
      <c r="E168" s="35">
        <v>71</v>
      </c>
      <c r="F168" s="36">
        <v>0</v>
      </c>
      <c r="G168" s="37">
        <f t="shared" si="120"/>
        <v>71</v>
      </c>
      <c r="H168" s="38" t="s">
        <v>3</v>
      </c>
      <c r="I168" s="19">
        <v>5.2962400000000001</v>
      </c>
      <c r="J168" s="19">
        <f t="shared" si="125"/>
        <v>376.03304000000003</v>
      </c>
      <c r="K168" s="31">
        <v>2.3300000000000001E-2</v>
      </c>
      <c r="L168" s="19">
        <f t="shared" si="126"/>
        <v>45</v>
      </c>
      <c r="M168" s="32">
        <f t="shared" si="127"/>
        <v>1.6543000000000001</v>
      </c>
      <c r="N168" s="11">
        <f t="shared" si="128"/>
        <v>74.4435</v>
      </c>
      <c r="O168" s="11">
        <f t="shared" si="129"/>
        <v>450.47654</v>
      </c>
      <c r="P168" s="54"/>
      <c r="Q168" s="39"/>
      <c r="R168" s="39"/>
      <c r="U168" s="41"/>
    </row>
    <row r="169" spans="1:21" s="40" customFormat="1">
      <c r="A169" s="33">
        <f>IF(H169&lt;&gt;"",1+MAX($A$5:A168),"")</f>
        <v>132</v>
      </c>
      <c r="B169" s="79"/>
      <c r="C169" s="69"/>
      <c r="D169" s="27" t="s">
        <v>151</v>
      </c>
      <c r="E169" s="35">
        <v>1</v>
      </c>
      <c r="F169" s="36">
        <v>0</v>
      </c>
      <c r="G169" s="37">
        <f t="shared" si="120"/>
        <v>1</v>
      </c>
      <c r="H169" s="38" t="s">
        <v>3</v>
      </c>
      <c r="I169" s="19">
        <v>32.503999999999998</v>
      </c>
      <c r="J169" s="19">
        <f t="shared" si="125"/>
        <v>32.503999999999998</v>
      </c>
      <c r="K169" s="31">
        <v>0.54</v>
      </c>
      <c r="L169" s="19">
        <f t="shared" si="126"/>
        <v>45</v>
      </c>
      <c r="M169" s="32">
        <f t="shared" si="127"/>
        <v>0.54</v>
      </c>
      <c r="N169" s="11">
        <f t="shared" si="128"/>
        <v>24.3</v>
      </c>
      <c r="O169" s="11">
        <f t="shared" si="129"/>
        <v>56.804000000000002</v>
      </c>
      <c r="P169" s="54"/>
      <c r="Q169" s="39"/>
      <c r="R169" s="39"/>
      <c r="U169" s="41"/>
    </row>
    <row r="170" spans="1:21" s="40" customFormat="1">
      <c r="A170" s="33">
        <f>IF(H170&lt;&gt;"",1+MAX($A$5:A169),"")</f>
        <v>133</v>
      </c>
      <c r="B170" s="79"/>
      <c r="C170" s="69"/>
      <c r="D170" s="27" t="s">
        <v>152</v>
      </c>
      <c r="E170" s="35">
        <v>60</v>
      </c>
      <c r="F170" s="36">
        <v>0</v>
      </c>
      <c r="G170" s="37">
        <f t="shared" si="120"/>
        <v>60</v>
      </c>
      <c r="H170" s="38" t="s">
        <v>3</v>
      </c>
      <c r="I170" s="19">
        <v>13.6708</v>
      </c>
      <c r="J170" s="19">
        <f t="shared" si="125"/>
        <v>820.24800000000005</v>
      </c>
      <c r="K170" s="31">
        <v>0.32200000000000001</v>
      </c>
      <c r="L170" s="19">
        <f t="shared" si="126"/>
        <v>45</v>
      </c>
      <c r="M170" s="32">
        <f t="shared" si="127"/>
        <v>19.32</v>
      </c>
      <c r="N170" s="11">
        <f t="shared" si="128"/>
        <v>869.4</v>
      </c>
      <c r="O170" s="11">
        <f t="shared" si="129"/>
        <v>1689.6480000000001</v>
      </c>
      <c r="P170" s="54"/>
      <c r="Q170" s="39"/>
      <c r="R170" s="39"/>
      <c r="U170" s="41"/>
    </row>
    <row r="171" spans="1:21" s="40" customFormat="1">
      <c r="A171" s="33">
        <f>IF(H171&lt;&gt;"",1+MAX($A$5:A170),"")</f>
        <v>134</v>
      </c>
      <c r="B171" s="79"/>
      <c r="C171" s="69"/>
      <c r="D171" s="27" t="s">
        <v>153</v>
      </c>
      <c r="E171" s="35">
        <v>2</v>
      </c>
      <c r="F171" s="36">
        <v>0</v>
      </c>
      <c r="G171" s="37">
        <f t="shared" si="120"/>
        <v>2</v>
      </c>
      <c r="H171" s="38" t="s">
        <v>3</v>
      </c>
      <c r="I171" s="19">
        <v>24.282399999999999</v>
      </c>
      <c r="J171" s="19">
        <f t="shared" si="125"/>
        <v>48.564799999999998</v>
      </c>
      <c r="K171" s="31">
        <v>0.3</v>
      </c>
      <c r="L171" s="19">
        <f t="shared" si="126"/>
        <v>45</v>
      </c>
      <c r="M171" s="32">
        <f t="shared" si="127"/>
        <v>0.6</v>
      </c>
      <c r="N171" s="11">
        <f t="shared" si="128"/>
        <v>27</v>
      </c>
      <c r="O171" s="11">
        <f t="shared" si="129"/>
        <v>75.564799999999991</v>
      </c>
      <c r="P171" s="54"/>
      <c r="Q171" s="39"/>
      <c r="R171" s="39"/>
      <c r="U171" s="41"/>
    </row>
    <row r="172" spans="1:21" s="40" customFormat="1">
      <c r="A172" s="33">
        <f>IF(H172&lt;&gt;"",1+MAX($A$5:A171),"")</f>
        <v>135</v>
      </c>
      <c r="B172" s="79"/>
      <c r="C172" s="69"/>
      <c r="D172" s="27" t="s">
        <v>154</v>
      </c>
      <c r="E172" s="35">
        <v>14</v>
      </c>
      <c r="F172" s="36">
        <v>0</v>
      </c>
      <c r="G172" s="37">
        <f t="shared" si="120"/>
        <v>14</v>
      </c>
      <c r="H172" s="38" t="s">
        <v>3</v>
      </c>
      <c r="I172" s="19">
        <v>5.2102000000000004</v>
      </c>
      <c r="J172" s="19">
        <f t="shared" si="125"/>
        <v>72.942800000000005</v>
      </c>
      <c r="K172" s="31">
        <v>8.8999999999999996E-2</v>
      </c>
      <c r="L172" s="19">
        <f t="shared" si="126"/>
        <v>45</v>
      </c>
      <c r="M172" s="32">
        <f t="shared" si="127"/>
        <v>1.246</v>
      </c>
      <c r="N172" s="11">
        <f t="shared" si="128"/>
        <v>56.07</v>
      </c>
      <c r="O172" s="11">
        <f t="shared" si="129"/>
        <v>129.0128</v>
      </c>
      <c r="P172" s="54"/>
      <c r="Q172" s="39"/>
      <c r="R172" s="39"/>
      <c r="U172" s="41"/>
    </row>
    <row r="173" spans="1:21" s="40" customFormat="1">
      <c r="A173" s="33">
        <f>IF(H173&lt;&gt;"",1+MAX($A$5:A172),"")</f>
        <v>136</v>
      </c>
      <c r="B173" s="79"/>
      <c r="C173" s="69"/>
      <c r="D173" s="27" t="s">
        <v>155</v>
      </c>
      <c r="E173" s="35">
        <v>6</v>
      </c>
      <c r="F173" s="36">
        <v>0</v>
      </c>
      <c r="G173" s="37">
        <f t="shared" si="120"/>
        <v>6</v>
      </c>
      <c r="H173" s="38" t="s">
        <v>3</v>
      </c>
      <c r="I173" s="19">
        <v>6.5677199999999996</v>
      </c>
      <c r="J173" s="19">
        <f t="shared" si="125"/>
        <v>39.406319999999994</v>
      </c>
      <c r="K173" s="31">
        <v>0.154</v>
      </c>
      <c r="L173" s="19">
        <f t="shared" si="126"/>
        <v>45</v>
      </c>
      <c r="M173" s="32">
        <f t="shared" si="127"/>
        <v>0.92399999999999993</v>
      </c>
      <c r="N173" s="11">
        <f t="shared" si="128"/>
        <v>41.58</v>
      </c>
      <c r="O173" s="11">
        <f t="shared" si="129"/>
        <v>80.986319999999992</v>
      </c>
      <c r="P173" s="54"/>
      <c r="Q173" s="39"/>
      <c r="R173" s="39"/>
      <c r="U173" s="41"/>
    </row>
    <row r="174" spans="1:21" s="40" customFormat="1">
      <c r="A174" s="33">
        <f>IF(H174&lt;&gt;"",1+MAX($A$5:A173),"")</f>
        <v>137</v>
      </c>
      <c r="B174" s="79"/>
      <c r="C174" s="69"/>
      <c r="D174" s="27" t="s">
        <v>99</v>
      </c>
      <c r="E174" s="35">
        <v>171</v>
      </c>
      <c r="F174" s="36">
        <v>0</v>
      </c>
      <c r="G174" s="37">
        <f t="shared" si="120"/>
        <v>171</v>
      </c>
      <c r="H174" s="38" t="s">
        <v>3</v>
      </c>
      <c r="I174" s="19">
        <v>3.2504</v>
      </c>
      <c r="J174" s="19">
        <f t="shared" si="125"/>
        <v>555.8184</v>
      </c>
      <c r="K174" s="31">
        <v>4.4999999999999998E-2</v>
      </c>
      <c r="L174" s="19">
        <f t="shared" si="126"/>
        <v>45</v>
      </c>
      <c r="M174" s="32">
        <f t="shared" si="127"/>
        <v>7.6949999999999994</v>
      </c>
      <c r="N174" s="11">
        <f t="shared" si="128"/>
        <v>346.27499999999998</v>
      </c>
      <c r="O174" s="11">
        <f t="shared" si="129"/>
        <v>902.09339999999997</v>
      </c>
      <c r="P174" s="54"/>
      <c r="Q174" s="39"/>
      <c r="R174" s="39"/>
      <c r="U174" s="41"/>
    </row>
    <row r="175" spans="1:21" s="40" customFormat="1">
      <c r="A175" s="33">
        <f>IF(H175&lt;&gt;"",1+MAX($A$5:A174),"")</f>
        <v>138</v>
      </c>
      <c r="B175" s="79"/>
      <c r="C175" s="69"/>
      <c r="D175" s="27" t="s">
        <v>156</v>
      </c>
      <c r="E175" s="35">
        <v>6</v>
      </c>
      <c r="F175" s="36">
        <v>0</v>
      </c>
      <c r="G175" s="37">
        <f t="shared" si="120"/>
        <v>6</v>
      </c>
      <c r="H175" s="38" t="s">
        <v>3</v>
      </c>
      <c r="I175" s="19">
        <v>84.319199999999995</v>
      </c>
      <c r="J175" s="19">
        <f t="shared" si="125"/>
        <v>505.91519999999997</v>
      </c>
      <c r="K175" s="31">
        <v>1.1000000000000001</v>
      </c>
      <c r="L175" s="19">
        <f t="shared" si="126"/>
        <v>45</v>
      </c>
      <c r="M175" s="32">
        <f t="shared" si="127"/>
        <v>6.6000000000000005</v>
      </c>
      <c r="N175" s="11">
        <f t="shared" si="128"/>
        <v>297</v>
      </c>
      <c r="O175" s="11">
        <f t="shared" si="129"/>
        <v>802.91519999999991</v>
      </c>
      <c r="P175" s="54"/>
      <c r="Q175" s="39"/>
      <c r="R175" s="39"/>
      <c r="U175" s="41"/>
    </row>
    <row r="176" spans="1:21" s="40" customFormat="1">
      <c r="A176" s="33">
        <f>IF(H176&lt;&gt;"",1+MAX($A$5:A175),"")</f>
        <v>139</v>
      </c>
      <c r="B176" s="79"/>
      <c r="C176" s="69"/>
      <c r="D176" s="27" t="s">
        <v>100</v>
      </c>
      <c r="E176" s="35">
        <v>12</v>
      </c>
      <c r="F176" s="36">
        <v>0</v>
      </c>
      <c r="G176" s="37">
        <f t="shared" si="120"/>
        <v>12</v>
      </c>
      <c r="H176" s="38" t="s">
        <v>3</v>
      </c>
      <c r="I176" s="19">
        <v>11.586719999999998</v>
      </c>
      <c r="J176" s="19">
        <f t="shared" si="125"/>
        <v>139.04063999999997</v>
      </c>
      <c r="K176" s="31">
        <v>0.2</v>
      </c>
      <c r="L176" s="19">
        <f t="shared" si="126"/>
        <v>45</v>
      </c>
      <c r="M176" s="32">
        <f t="shared" si="127"/>
        <v>2.4000000000000004</v>
      </c>
      <c r="N176" s="11">
        <f t="shared" si="128"/>
        <v>108.00000000000001</v>
      </c>
      <c r="O176" s="11">
        <f t="shared" si="129"/>
        <v>247.04064</v>
      </c>
      <c r="P176" s="54"/>
      <c r="Q176" s="39"/>
      <c r="R176" s="39"/>
      <c r="U176" s="41"/>
    </row>
    <row r="177" spans="1:21" s="40" customFormat="1">
      <c r="A177" s="33">
        <f>IF(H177&lt;&gt;"",1+MAX($A$5:A176),"")</f>
        <v>140</v>
      </c>
      <c r="B177" s="79"/>
      <c r="C177" s="69"/>
      <c r="D177" s="27" t="s">
        <v>157</v>
      </c>
      <c r="E177" s="35">
        <v>60</v>
      </c>
      <c r="F177" s="36">
        <v>0</v>
      </c>
      <c r="G177" s="37">
        <f t="shared" si="120"/>
        <v>60</v>
      </c>
      <c r="H177" s="38" t="s">
        <v>3</v>
      </c>
      <c r="I177" s="19">
        <v>16.443199999999997</v>
      </c>
      <c r="J177" s="19">
        <f t="shared" si="125"/>
        <v>986.59199999999987</v>
      </c>
      <c r="K177" s="31">
        <v>0.32</v>
      </c>
      <c r="L177" s="19">
        <f t="shared" si="126"/>
        <v>45</v>
      </c>
      <c r="M177" s="32">
        <f t="shared" si="127"/>
        <v>19.2</v>
      </c>
      <c r="N177" s="11">
        <f t="shared" si="128"/>
        <v>864</v>
      </c>
      <c r="O177" s="11">
        <f t="shared" si="129"/>
        <v>1850.5919999999999</v>
      </c>
      <c r="P177" s="54"/>
      <c r="Q177" s="39"/>
      <c r="R177" s="39"/>
      <c r="U177" s="41"/>
    </row>
    <row r="178" spans="1:21" s="40" customFormat="1">
      <c r="A178" s="33">
        <f>IF(H178&lt;&gt;"",1+MAX($A$5:A177),"")</f>
        <v>141</v>
      </c>
      <c r="B178" s="79"/>
      <c r="C178" s="69"/>
      <c r="D178" s="27" t="s">
        <v>158</v>
      </c>
      <c r="E178" s="35">
        <v>2</v>
      </c>
      <c r="F178" s="36">
        <v>0</v>
      </c>
      <c r="G178" s="37">
        <f t="shared" si="120"/>
        <v>2</v>
      </c>
      <c r="H178" s="38" t="s">
        <v>3</v>
      </c>
      <c r="I178" s="19">
        <v>185.464</v>
      </c>
      <c r="J178" s="19">
        <f t="shared" si="125"/>
        <v>370.928</v>
      </c>
      <c r="K178" s="31">
        <v>1</v>
      </c>
      <c r="L178" s="19">
        <f t="shared" si="126"/>
        <v>45</v>
      </c>
      <c r="M178" s="32">
        <f t="shared" si="127"/>
        <v>2</v>
      </c>
      <c r="N178" s="11">
        <f t="shared" si="128"/>
        <v>90</v>
      </c>
      <c r="O178" s="11">
        <f t="shared" si="129"/>
        <v>460.928</v>
      </c>
      <c r="P178" s="54"/>
      <c r="Q178" s="39"/>
      <c r="R178" s="39"/>
      <c r="U178" s="41"/>
    </row>
    <row r="179" spans="1:21" s="40" customFormat="1">
      <c r="A179" s="33">
        <f>IF(H179&lt;&gt;"",1+MAX($A$5:A178),"")</f>
        <v>142</v>
      </c>
      <c r="B179" s="79"/>
      <c r="C179" s="69"/>
      <c r="D179" s="27" t="s">
        <v>159</v>
      </c>
      <c r="E179" s="35">
        <v>281</v>
      </c>
      <c r="F179" s="36">
        <v>0</v>
      </c>
      <c r="G179" s="37">
        <f t="shared" si="120"/>
        <v>281</v>
      </c>
      <c r="H179" s="38" t="s">
        <v>3</v>
      </c>
      <c r="I179" s="19">
        <v>1.2714799999999999</v>
      </c>
      <c r="J179" s="19">
        <f t="shared" si="125"/>
        <v>357.28587999999996</v>
      </c>
      <c r="K179" s="31">
        <v>0.03</v>
      </c>
      <c r="L179" s="19">
        <f t="shared" si="126"/>
        <v>45</v>
      </c>
      <c r="M179" s="32">
        <f t="shared" si="127"/>
        <v>8.43</v>
      </c>
      <c r="N179" s="11">
        <f t="shared" si="128"/>
        <v>379.34999999999997</v>
      </c>
      <c r="O179" s="11">
        <f t="shared" si="129"/>
        <v>736.63587999999993</v>
      </c>
      <c r="P179" s="54"/>
      <c r="Q179" s="39"/>
      <c r="R179" s="39"/>
      <c r="U179" s="41"/>
    </row>
    <row r="180" spans="1:21" s="40" customFormat="1">
      <c r="A180" s="33">
        <f>IF(H180&lt;&gt;"",1+MAX($A$5:A179),"")</f>
        <v>143</v>
      </c>
      <c r="B180" s="79"/>
      <c r="C180" s="69"/>
      <c r="D180" s="27" t="s">
        <v>160</v>
      </c>
      <c r="E180" s="35">
        <v>14</v>
      </c>
      <c r="F180" s="36">
        <v>0</v>
      </c>
      <c r="G180" s="37">
        <f t="shared" si="120"/>
        <v>14</v>
      </c>
      <c r="H180" s="38" t="s">
        <v>3</v>
      </c>
      <c r="I180" s="19">
        <v>0.97511999999999999</v>
      </c>
      <c r="J180" s="19">
        <f t="shared" si="125"/>
        <v>13.651679999999999</v>
      </c>
      <c r="K180" s="31">
        <v>0.05</v>
      </c>
      <c r="L180" s="19">
        <f t="shared" si="126"/>
        <v>45</v>
      </c>
      <c r="M180" s="32">
        <f t="shared" si="127"/>
        <v>0.70000000000000007</v>
      </c>
      <c r="N180" s="11">
        <f t="shared" si="128"/>
        <v>31.500000000000004</v>
      </c>
      <c r="O180" s="11">
        <f t="shared" si="129"/>
        <v>45.151679999999999</v>
      </c>
      <c r="P180" s="54"/>
      <c r="Q180" s="39"/>
      <c r="R180" s="39"/>
      <c r="U180" s="41"/>
    </row>
    <row r="181" spans="1:21" s="40" customFormat="1">
      <c r="A181" s="33">
        <f>IF(H181&lt;&gt;"",1+MAX($A$5:A180),"")</f>
        <v>144</v>
      </c>
      <c r="B181" s="79"/>
      <c r="C181" s="69"/>
      <c r="D181" s="27" t="s">
        <v>161</v>
      </c>
      <c r="E181" s="35">
        <v>1</v>
      </c>
      <c r="F181" s="36">
        <v>0</v>
      </c>
      <c r="G181" s="37">
        <f t="shared" si="120"/>
        <v>1</v>
      </c>
      <c r="H181" s="38" t="s">
        <v>3</v>
      </c>
      <c r="I181" s="19">
        <v>170.16800000000001</v>
      </c>
      <c r="J181" s="19">
        <f t="shared" si="125"/>
        <v>170.16800000000001</v>
      </c>
      <c r="K181" s="31">
        <v>1.1200000000000001</v>
      </c>
      <c r="L181" s="19">
        <f t="shared" si="126"/>
        <v>45</v>
      </c>
      <c r="M181" s="32">
        <f t="shared" si="127"/>
        <v>1.1200000000000001</v>
      </c>
      <c r="N181" s="11">
        <f t="shared" si="128"/>
        <v>50.400000000000006</v>
      </c>
      <c r="O181" s="11">
        <f t="shared" si="129"/>
        <v>220.56800000000001</v>
      </c>
      <c r="P181" s="54"/>
      <c r="Q181" s="39"/>
      <c r="R181" s="39"/>
      <c r="U181" s="41"/>
    </row>
    <row r="182" spans="1:21" s="40" customFormat="1">
      <c r="A182" s="33">
        <f>IF(H182&lt;&gt;"",1+MAX($A$5:A181),"")</f>
        <v>145</v>
      </c>
      <c r="B182" s="79"/>
      <c r="C182" s="69"/>
      <c r="D182" s="27" t="s">
        <v>162</v>
      </c>
      <c r="E182" s="35">
        <v>2</v>
      </c>
      <c r="F182" s="36">
        <v>0</v>
      </c>
      <c r="G182" s="37">
        <f t="shared" si="120"/>
        <v>2</v>
      </c>
      <c r="H182" s="38" t="s">
        <v>3</v>
      </c>
      <c r="I182" s="19">
        <v>33.029799999999994</v>
      </c>
      <c r="J182" s="19">
        <f t="shared" si="125"/>
        <v>66.059599999999989</v>
      </c>
      <c r="K182" s="31">
        <v>0.5</v>
      </c>
      <c r="L182" s="19">
        <f t="shared" si="126"/>
        <v>45</v>
      </c>
      <c r="M182" s="32">
        <f t="shared" si="127"/>
        <v>1</v>
      </c>
      <c r="N182" s="11">
        <f t="shared" si="128"/>
        <v>45</v>
      </c>
      <c r="O182" s="11">
        <f t="shared" si="129"/>
        <v>111.05959999999999</v>
      </c>
      <c r="P182" s="54"/>
      <c r="Q182" s="39"/>
      <c r="R182" s="39"/>
      <c r="U182" s="41"/>
    </row>
    <row r="183" spans="1:21" s="40" customFormat="1">
      <c r="A183" s="33">
        <f>IF(H183&lt;&gt;"",1+MAX($A$5:A182),"")</f>
        <v>146</v>
      </c>
      <c r="B183" s="79"/>
      <c r="C183" s="69"/>
      <c r="D183" s="27" t="s">
        <v>163</v>
      </c>
      <c r="E183" s="35">
        <v>1</v>
      </c>
      <c r="F183" s="36">
        <v>0</v>
      </c>
      <c r="G183" s="37">
        <f t="shared" si="120"/>
        <v>1</v>
      </c>
      <c r="H183" s="38" t="s">
        <v>3</v>
      </c>
      <c r="I183" s="19">
        <v>55.639200000000002</v>
      </c>
      <c r="J183" s="19">
        <f t="shared" si="125"/>
        <v>55.639200000000002</v>
      </c>
      <c r="K183" s="31">
        <v>0.5</v>
      </c>
      <c r="L183" s="19">
        <f t="shared" si="126"/>
        <v>45</v>
      </c>
      <c r="M183" s="32">
        <f t="shared" si="127"/>
        <v>0.5</v>
      </c>
      <c r="N183" s="11">
        <f t="shared" si="128"/>
        <v>22.5</v>
      </c>
      <c r="O183" s="11">
        <f t="shared" si="129"/>
        <v>78.139200000000002</v>
      </c>
      <c r="P183" s="54"/>
      <c r="Q183" s="39"/>
      <c r="R183" s="39"/>
      <c r="U183" s="41"/>
    </row>
    <row r="184" spans="1:21" s="40" customFormat="1">
      <c r="A184" s="33">
        <f>IF(H184&lt;&gt;"",1+MAX($A$5:A183),"")</f>
        <v>147</v>
      </c>
      <c r="B184" s="79"/>
      <c r="C184" s="69"/>
      <c r="D184" s="27" t="s">
        <v>164</v>
      </c>
      <c r="E184" s="35">
        <v>4</v>
      </c>
      <c r="F184" s="36">
        <v>0</v>
      </c>
      <c r="G184" s="37">
        <f t="shared" si="120"/>
        <v>4</v>
      </c>
      <c r="H184" s="38" t="s">
        <v>3</v>
      </c>
      <c r="I184" s="19">
        <v>42.064</v>
      </c>
      <c r="J184" s="19">
        <f t="shared" si="125"/>
        <v>168.256</v>
      </c>
      <c r="K184" s="31">
        <v>0.67</v>
      </c>
      <c r="L184" s="19">
        <f t="shared" si="126"/>
        <v>45</v>
      </c>
      <c r="M184" s="32">
        <f t="shared" si="127"/>
        <v>2.68</v>
      </c>
      <c r="N184" s="11">
        <f t="shared" si="128"/>
        <v>120.60000000000001</v>
      </c>
      <c r="O184" s="11">
        <f t="shared" si="129"/>
        <v>288.85599999999999</v>
      </c>
      <c r="P184" s="54"/>
      <c r="Q184" s="39"/>
      <c r="R184" s="39"/>
      <c r="U184" s="41"/>
    </row>
    <row r="185" spans="1:21" s="40" customFormat="1">
      <c r="A185" s="33">
        <f>IF(H185&lt;&gt;"",1+MAX($A$5:A184),"")</f>
        <v>148</v>
      </c>
      <c r="B185" s="79"/>
      <c r="C185" s="69"/>
      <c r="D185" s="27" t="s">
        <v>165</v>
      </c>
      <c r="E185" s="35">
        <v>7</v>
      </c>
      <c r="F185" s="36">
        <v>0</v>
      </c>
      <c r="G185" s="37">
        <f t="shared" si="120"/>
        <v>7</v>
      </c>
      <c r="H185" s="38" t="s">
        <v>3</v>
      </c>
      <c r="I185" s="19">
        <v>30.591999999999999</v>
      </c>
      <c r="J185" s="19">
        <f t="shared" si="125"/>
        <v>214.14400000000001</v>
      </c>
      <c r="K185" s="31">
        <v>0.3</v>
      </c>
      <c r="L185" s="19">
        <f t="shared" si="126"/>
        <v>45</v>
      </c>
      <c r="M185" s="32">
        <f t="shared" si="127"/>
        <v>2.1</v>
      </c>
      <c r="N185" s="11">
        <f t="shared" si="128"/>
        <v>94.5</v>
      </c>
      <c r="O185" s="11">
        <f t="shared" si="129"/>
        <v>308.64400000000001</v>
      </c>
      <c r="P185" s="54"/>
      <c r="Q185" s="39"/>
      <c r="R185" s="39"/>
      <c r="U185" s="41"/>
    </row>
    <row r="186" spans="1:21" s="40" customFormat="1">
      <c r="A186" s="33">
        <f>IF(H186&lt;&gt;"",1+MAX($A$5:A185),"")</f>
        <v>149</v>
      </c>
      <c r="B186" s="79"/>
      <c r="C186" s="69"/>
      <c r="D186" s="27" t="s">
        <v>166</v>
      </c>
      <c r="E186" s="35">
        <v>3</v>
      </c>
      <c r="F186" s="36">
        <v>0</v>
      </c>
      <c r="G186" s="37">
        <f t="shared" si="120"/>
        <v>3</v>
      </c>
      <c r="H186" s="38" t="s">
        <v>3</v>
      </c>
      <c r="I186" s="19">
        <v>24.282399999999999</v>
      </c>
      <c r="J186" s="19">
        <f t="shared" si="125"/>
        <v>72.847200000000001</v>
      </c>
      <c r="K186" s="31">
        <v>0.34</v>
      </c>
      <c r="L186" s="19">
        <f t="shared" si="126"/>
        <v>45</v>
      </c>
      <c r="M186" s="32">
        <f t="shared" si="127"/>
        <v>1.02</v>
      </c>
      <c r="N186" s="11">
        <f t="shared" si="128"/>
        <v>45.9</v>
      </c>
      <c r="O186" s="11">
        <f t="shared" si="129"/>
        <v>118.74719999999999</v>
      </c>
      <c r="P186" s="54"/>
      <c r="Q186" s="39"/>
      <c r="R186" s="39"/>
      <c r="U186" s="41"/>
    </row>
    <row r="187" spans="1:21" s="40" customFormat="1">
      <c r="A187" s="33">
        <f>IF(H187&lt;&gt;"",1+MAX($A$5:A186),"")</f>
        <v>150</v>
      </c>
      <c r="B187" s="79"/>
      <c r="C187" s="69"/>
      <c r="D187" s="27" t="s">
        <v>166</v>
      </c>
      <c r="E187" s="35">
        <v>1</v>
      </c>
      <c r="F187" s="36">
        <v>0</v>
      </c>
      <c r="G187" s="37">
        <f t="shared" si="120"/>
        <v>1</v>
      </c>
      <c r="H187" s="38" t="s">
        <v>3</v>
      </c>
      <c r="I187" s="19">
        <v>24.282399999999999</v>
      </c>
      <c r="J187" s="19">
        <f t="shared" si="125"/>
        <v>24.282399999999999</v>
      </c>
      <c r="K187" s="31">
        <v>0.34</v>
      </c>
      <c r="L187" s="19">
        <f t="shared" si="126"/>
        <v>45</v>
      </c>
      <c r="M187" s="32">
        <f t="shared" si="127"/>
        <v>0.34</v>
      </c>
      <c r="N187" s="11">
        <f t="shared" si="128"/>
        <v>15.3</v>
      </c>
      <c r="O187" s="11">
        <f t="shared" si="129"/>
        <v>39.5824</v>
      </c>
      <c r="P187" s="54"/>
      <c r="Q187" s="39"/>
      <c r="R187" s="39"/>
      <c r="U187" s="41"/>
    </row>
    <row r="188" spans="1:21" s="40" customFormat="1">
      <c r="A188" s="33">
        <f>IF(H188&lt;&gt;"",1+MAX($A$5:A187),"")</f>
        <v>151</v>
      </c>
      <c r="B188" s="79"/>
      <c r="C188" s="69"/>
      <c r="D188" s="27" t="s">
        <v>167</v>
      </c>
      <c r="E188" s="35">
        <v>9</v>
      </c>
      <c r="F188" s="36">
        <v>0</v>
      </c>
      <c r="G188" s="37">
        <f t="shared" si="120"/>
        <v>9</v>
      </c>
      <c r="H188" s="38" t="s">
        <v>3</v>
      </c>
      <c r="I188" s="19">
        <v>11.758800000000001</v>
      </c>
      <c r="J188" s="19">
        <f t="shared" si="125"/>
        <v>105.82920000000001</v>
      </c>
      <c r="K188" s="31">
        <v>0.3</v>
      </c>
      <c r="L188" s="19">
        <f t="shared" si="126"/>
        <v>45</v>
      </c>
      <c r="M188" s="32">
        <f t="shared" si="127"/>
        <v>2.6999999999999997</v>
      </c>
      <c r="N188" s="11">
        <f t="shared" si="128"/>
        <v>121.49999999999999</v>
      </c>
      <c r="O188" s="11">
        <f t="shared" si="129"/>
        <v>227.32920000000001</v>
      </c>
      <c r="P188" s="54"/>
      <c r="Q188" s="39"/>
      <c r="R188" s="39"/>
      <c r="U188" s="41"/>
    </row>
    <row r="189" spans="1:21" s="40" customFormat="1">
      <c r="A189" s="33">
        <f>IF(H189&lt;&gt;"",1+MAX($A$5:A188),"")</f>
        <v>152</v>
      </c>
      <c r="B189" s="79"/>
      <c r="C189" s="69"/>
      <c r="D189" s="27" t="s">
        <v>168</v>
      </c>
      <c r="E189" s="35">
        <v>12</v>
      </c>
      <c r="F189" s="36">
        <v>0</v>
      </c>
      <c r="G189" s="37">
        <f t="shared" si="120"/>
        <v>12</v>
      </c>
      <c r="H189" s="38" t="s">
        <v>3</v>
      </c>
      <c r="I189" s="19">
        <v>15.831359999999998</v>
      </c>
      <c r="J189" s="19">
        <f t="shared" si="125"/>
        <v>189.97631999999999</v>
      </c>
      <c r="K189" s="31">
        <v>0.32200000000000001</v>
      </c>
      <c r="L189" s="19">
        <f t="shared" si="126"/>
        <v>45</v>
      </c>
      <c r="M189" s="32">
        <f t="shared" si="127"/>
        <v>3.8639999999999999</v>
      </c>
      <c r="N189" s="11">
        <f t="shared" si="128"/>
        <v>173.88</v>
      </c>
      <c r="O189" s="11">
        <f t="shared" si="129"/>
        <v>363.85631999999998</v>
      </c>
      <c r="P189" s="54"/>
      <c r="Q189" s="39"/>
      <c r="R189" s="39"/>
      <c r="U189" s="41"/>
    </row>
    <row r="190" spans="1:21" s="40" customFormat="1">
      <c r="A190" s="33">
        <f>IF(H190&lt;&gt;"",1+MAX($A$5:A189),"")</f>
        <v>153</v>
      </c>
      <c r="B190" s="79"/>
      <c r="C190" s="69"/>
      <c r="D190" s="27" t="s">
        <v>169</v>
      </c>
      <c r="E190" s="35">
        <v>14</v>
      </c>
      <c r="F190" s="36">
        <v>0</v>
      </c>
      <c r="G190" s="37">
        <f t="shared" si="120"/>
        <v>14</v>
      </c>
      <c r="H190" s="38" t="s">
        <v>3</v>
      </c>
      <c r="I190" s="19">
        <v>23.230799999999999</v>
      </c>
      <c r="J190" s="19">
        <f t="shared" si="125"/>
        <v>325.2312</v>
      </c>
      <c r="K190" s="31">
        <v>0.4</v>
      </c>
      <c r="L190" s="19">
        <f t="shared" si="126"/>
        <v>45</v>
      </c>
      <c r="M190" s="32">
        <f t="shared" si="127"/>
        <v>5.6000000000000005</v>
      </c>
      <c r="N190" s="11">
        <f t="shared" si="128"/>
        <v>252.00000000000003</v>
      </c>
      <c r="O190" s="11">
        <f t="shared" si="129"/>
        <v>577.23120000000006</v>
      </c>
      <c r="P190" s="54"/>
      <c r="Q190" s="39"/>
      <c r="R190" s="39"/>
      <c r="U190" s="41"/>
    </row>
    <row r="191" spans="1:21" s="40" customFormat="1">
      <c r="A191" s="33">
        <f>IF(H191&lt;&gt;"",1+MAX($A$5:A190),"")</f>
        <v>154</v>
      </c>
      <c r="B191" s="79"/>
      <c r="C191" s="69"/>
      <c r="D191" s="27" t="s">
        <v>170</v>
      </c>
      <c r="E191" s="35">
        <v>6</v>
      </c>
      <c r="F191" s="36">
        <v>0</v>
      </c>
      <c r="G191" s="37">
        <f t="shared" si="120"/>
        <v>6</v>
      </c>
      <c r="H191" s="38" t="s">
        <v>3</v>
      </c>
      <c r="I191" s="19">
        <v>32.886399999999995</v>
      </c>
      <c r="J191" s="19">
        <f t="shared" si="125"/>
        <v>197.31839999999997</v>
      </c>
      <c r="K191" s="31">
        <v>0.43</v>
      </c>
      <c r="L191" s="19">
        <f t="shared" si="126"/>
        <v>45</v>
      </c>
      <c r="M191" s="32">
        <f t="shared" si="127"/>
        <v>2.58</v>
      </c>
      <c r="N191" s="11">
        <f t="shared" si="128"/>
        <v>116.10000000000001</v>
      </c>
      <c r="O191" s="11">
        <f t="shared" si="129"/>
        <v>313.41839999999996</v>
      </c>
      <c r="P191" s="54"/>
      <c r="Q191" s="39"/>
      <c r="R191" s="39"/>
      <c r="U191" s="41"/>
    </row>
    <row r="192" spans="1:21" s="40" customFormat="1">
      <c r="A192" s="33">
        <f>IF(H192&lt;&gt;"",1+MAX($A$5:A191),"")</f>
        <v>155</v>
      </c>
      <c r="B192" s="79"/>
      <c r="C192" s="69"/>
      <c r="D192" s="27" t="s">
        <v>171</v>
      </c>
      <c r="E192" s="35">
        <v>61</v>
      </c>
      <c r="F192" s="36">
        <v>0</v>
      </c>
      <c r="G192" s="37">
        <f t="shared" si="120"/>
        <v>61</v>
      </c>
      <c r="H192" s="38" t="s">
        <v>3</v>
      </c>
      <c r="I192" s="19">
        <v>28.632199999999997</v>
      </c>
      <c r="J192" s="19">
        <f t="shared" si="125"/>
        <v>1746.5641999999998</v>
      </c>
      <c r="K192" s="31">
        <v>0.35</v>
      </c>
      <c r="L192" s="19">
        <f t="shared" si="126"/>
        <v>45</v>
      </c>
      <c r="M192" s="32">
        <f t="shared" si="127"/>
        <v>21.349999999999998</v>
      </c>
      <c r="N192" s="11">
        <f t="shared" si="128"/>
        <v>960.74999999999989</v>
      </c>
      <c r="O192" s="11">
        <f t="shared" si="129"/>
        <v>2707.3141999999998</v>
      </c>
      <c r="P192" s="54"/>
      <c r="Q192" s="39"/>
      <c r="R192" s="39"/>
      <c r="U192" s="41"/>
    </row>
    <row r="193" spans="1:21" s="40" customFormat="1">
      <c r="A193" s="33">
        <f>IF(H193&lt;&gt;"",1+MAX($A$5:A192),"")</f>
        <v>156</v>
      </c>
      <c r="B193" s="79"/>
      <c r="C193" s="69"/>
      <c r="D193" s="27" t="s">
        <v>172</v>
      </c>
      <c r="E193" s="35">
        <v>35</v>
      </c>
      <c r="F193" s="36">
        <v>0</v>
      </c>
      <c r="G193" s="37">
        <f t="shared" si="120"/>
        <v>35</v>
      </c>
      <c r="H193" s="38" t="s">
        <v>3</v>
      </c>
      <c r="I193" s="19">
        <v>11.758800000000001</v>
      </c>
      <c r="J193" s="19">
        <f t="shared" si="125"/>
        <v>411.55800000000005</v>
      </c>
      <c r="K193" s="31">
        <v>0.24</v>
      </c>
      <c r="L193" s="19">
        <f t="shared" si="126"/>
        <v>45</v>
      </c>
      <c r="M193" s="32">
        <f t="shared" si="127"/>
        <v>8.4</v>
      </c>
      <c r="N193" s="11">
        <f t="shared" si="128"/>
        <v>378</v>
      </c>
      <c r="O193" s="11">
        <f t="shared" si="129"/>
        <v>789.55799999999999</v>
      </c>
      <c r="P193" s="54"/>
      <c r="Q193" s="39"/>
      <c r="R193" s="39"/>
      <c r="U193" s="41"/>
    </row>
    <row r="194" spans="1:21" s="40" customFormat="1">
      <c r="A194" s="33">
        <f>IF(H194&lt;&gt;"",1+MAX($A$5:A193),"")</f>
        <v>157</v>
      </c>
      <c r="B194" s="79"/>
      <c r="C194" s="69"/>
      <c r="D194" s="27" t="s">
        <v>173</v>
      </c>
      <c r="E194" s="35">
        <v>36</v>
      </c>
      <c r="F194" s="36">
        <v>0</v>
      </c>
      <c r="G194" s="37">
        <f t="shared" si="120"/>
        <v>36</v>
      </c>
      <c r="H194" s="38" t="s">
        <v>3</v>
      </c>
      <c r="I194" s="19">
        <v>14.913599999999999</v>
      </c>
      <c r="J194" s="19">
        <f t="shared" si="125"/>
        <v>536.88959999999997</v>
      </c>
      <c r="K194" s="31">
        <v>0.24</v>
      </c>
      <c r="L194" s="19">
        <f t="shared" si="126"/>
        <v>45</v>
      </c>
      <c r="M194" s="32">
        <f t="shared" si="127"/>
        <v>8.64</v>
      </c>
      <c r="N194" s="11">
        <f t="shared" si="128"/>
        <v>388.8</v>
      </c>
      <c r="O194" s="11">
        <f t="shared" si="129"/>
        <v>925.68959999999993</v>
      </c>
      <c r="P194" s="54"/>
      <c r="Q194" s="39"/>
      <c r="R194" s="39"/>
      <c r="U194" s="41"/>
    </row>
    <row r="195" spans="1:21" s="40" customFormat="1">
      <c r="A195" s="33">
        <f>IF(H195&lt;&gt;"",1+MAX($A$5:A194),"")</f>
        <v>158</v>
      </c>
      <c r="B195" s="79"/>
      <c r="C195" s="69"/>
      <c r="D195" s="27" t="s">
        <v>174</v>
      </c>
      <c r="E195" s="35">
        <v>15</v>
      </c>
      <c r="F195" s="36">
        <v>0</v>
      </c>
      <c r="G195" s="37">
        <f t="shared" si="120"/>
        <v>15</v>
      </c>
      <c r="H195" s="38" t="s">
        <v>3</v>
      </c>
      <c r="I195" s="19">
        <v>20.267199999999999</v>
      </c>
      <c r="J195" s="19">
        <f t="shared" si="125"/>
        <v>304.00799999999998</v>
      </c>
      <c r="K195" s="31">
        <v>0.24</v>
      </c>
      <c r="L195" s="19">
        <f t="shared" si="126"/>
        <v>45</v>
      </c>
      <c r="M195" s="32">
        <f t="shared" si="127"/>
        <v>3.5999999999999996</v>
      </c>
      <c r="N195" s="11">
        <f t="shared" si="128"/>
        <v>161.99999999999997</v>
      </c>
      <c r="O195" s="11">
        <f t="shared" si="129"/>
        <v>466.00799999999992</v>
      </c>
      <c r="P195" s="54"/>
      <c r="Q195" s="39"/>
      <c r="R195" s="39"/>
      <c r="U195" s="41"/>
    </row>
    <row r="196" spans="1:21" s="40" customFormat="1">
      <c r="A196" s="33">
        <f>IF(H196&lt;&gt;"",1+MAX($A$5:A195),"")</f>
        <v>159</v>
      </c>
      <c r="B196" s="79"/>
      <c r="C196" s="69"/>
      <c r="D196" s="27" t="s">
        <v>175</v>
      </c>
      <c r="E196" s="35">
        <v>3</v>
      </c>
      <c r="F196" s="36">
        <v>0</v>
      </c>
      <c r="G196" s="37">
        <f t="shared" si="120"/>
        <v>3</v>
      </c>
      <c r="H196" s="38" t="s">
        <v>3</v>
      </c>
      <c r="I196" s="19">
        <v>51.050399999999996</v>
      </c>
      <c r="J196" s="19">
        <f t="shared" si="125"/>
        <v>153.15119999999999</v>
      </c>
      <c r="K196" s="31">
        <v>0.35399999999999998</v>
      </c>
      <c r="L196" s="19">
        <f t="shared" si="126"/>
        <v>45</v>
      </c>
      <c r="M196" s="32">
        <f t="shared" si="127"/>
        <v>1.0619999999999998</v>
      </c>
      <c r="N196" s="11">
        <f t="shared" si="128"/>
        <v>47.789999999999992</v>
      </c>
      <c r="O196" s="11">
        <f t="shared" si="129"/>
        <v>200.94119999999998</v>
      </c>
      <c r="P196" s="54"/>
      <c r="Q196" s="39"/>
      <c r="R196" s="39"/>
      <c r="U196" s="41"/>
    </row>
    <row r="197" spans="1:21" s="40" customFormat="1">
      <c r="A197" s="33">
        <f>IF(H197&lt;&gt;"",1+MAX($A$5:A196),"")</f>
        <v>160</v>
      </c>
      <c r="B197" s="79"/>
      <c r="C197" s="69"/>
      <c r="D197" s="27" t="s">
        <v>176</v>
      </c>
      <c r="E197" s="35">
        <v>2</v>
      </c>
      <c r="F197" s="36">
        <v>0</v>
      </c>
      <c r="G197" s="37">
        <f t="shared" si="120"/>
        <v>2</v>
      </c>
      <c r="H197" s="38" t="s">
        <v>3</v>
      </c>
      <c r="I197" s="19">
        <v>23.326399999999996</v>
      </c>
      <c r="J197" s="19">
        <f t="shared" si="125"/>
        <v>46.652799999999992</v>
      </c>
      <c r="K197" s="31">
        <v>0.5</v>
      </c>
      <c r="L197" s="19">
        <f t="shared" si="126"/>
        <v>45</v>
      </c>
      <c r="M197" s="32">
        <f t="shared" si="127"/>
        <v>1</v>
      </c>
      <c r="N197" s="11">
        <f t="shared" si="128"/>
        <v>45</v>
      </c>
      <c r="O197" s="11">
        <f t="shared" si="129"/>
        <v>91.652799999999985</v>
      </c>
      <c r="P197" s="54"/>
      <c r="Q197" s="39"/>
      <c r="R197" s="39"/>
      <c r="U197" s="41"/>
    </row>
    <row r="198" spans="1:21" s="40" customFormat="1">
      <c r="A198" s="33">
        <f>IF(H198&lt;&gt;"",1+MAX($A$5:A197),"")</f>
        <v>161</v>
      </c>
      <c r="B198" s="79"/>
      <c r="C198" s="69"/>
      <c r="D198" s="27" t="s">
        <v>177</v>
      </c>
      <c r="E198" s="35">
        <v>8</v>
      </c>
      <c r="F198" s="36">
        <v>0</v>
      </c>
      <c r="G198" s="37">
        <f t="shared" si="120"/>
        <v>8</v>
      </c>
      <c r="H198" s="38" t="s">
        <v>3</v>
      </c>
      <c r="I198" s="19">
        <v>32.503999999999998</v>
      </c>
      <c r="J198" s="19">
        <f t="shared" si="125"/>
        <v>260.03199999999998</v>
      </c>
      <c r="K198" s="31">
        <v>0.38</v>
      </c>
      <c r="L198" s="19">
        <f t="shared" si="126"/>
        <v>45</v>
      </c>
      <c r="M198" s="32">
        <f t="shared" si="127"/>
        <v>3.04</v>
      </c>
      <c r="N198" s="11">
        <f t="shared" si="128"/>
        <v>136.80000000000001</v>
      </c>
      <c r="O198" s="11">
        <f t="shared" si="129"/>
        <v>396.83199999999999</v>
      </c>
      <c r="P198" s="54"/>
      <c r="Q198" s="39"/>
      <c r="R198" s="39"/>
      <c r="U198" s="41"/>
    </row>
    <row r="199" spans="1:21" s="40" customFormat="1">
      <c r="A199" s="33" t="str">
        <f>IF(H199&lt;&gt;"",1+MAX($A$5:A198),"")</f>
        <v/>
      </c>
      <c r="B199" s="79"/>
      <c r="C199" s="69"/>
      <c r="D199" s="27"/>
      <c r="E199" s="35"/>
      <c r="F199" s="36"/>
      <c r="G199" s="37"/>
      <c r="H199" s="38"/>
      <c r="I199" s="19"/>
      <c r="J199" s="19"/>
      <c r="K199" s="31"/>
      <c r="L199" s="19"/>
      <c r="M199" s="32"/>
      <c r="N199" s="11"/>
      <c r="O199" s="11"/>
      <c r="P199" s="54"/>
      <c r="Q199" s="39"/>
      <c r="R199" s="39"/>
      <c r="U199" s="41"/>
    </row>
    <row r="200" spans="1:21" s="40" customFormat="1">
      <c r="A200" s="33" t="str">
        <f>IF(H200&lt;&gt;"",1+MAX($A$5:A199),"")</f>
        <v/>
      </c>
      <c r="B200" s="79"/>
      <c r="C200" s="69"/>
      <c r="D200" s="94" t="s">
        <v>178</v>
      </c>
      <c r="E200" s="35"/>
      <c r="F200" s="36"/>
      <c r="G200" s="37"/>
      <c r="H200" s="38"/>
      <c r="I200" s="19"/>
      <c r="J200" s="19"/>
      <c r="K200" s="31"/>
      <c r="L200" s="19"/>
      <c r="M200" s="32"/>
      <c r="N200" s="11"/>
      <c r="O200" s="11"/>
      <c r="P200" s="54"/>
      <c r="Q200" s="39"/>
      <c r="R200" s="39"/>
      <c r="U200" s="41"/>
    </row>
    <row r="201" spans="1:21" s="40" customFormat="1">
      <c r="A201" s="33">
        <f>IF(H201&lt;&gt;"",1+MAX($A$5:A200),"")</f>
        <v>162</v>
      </c>
      <c r="B201" s="79"/>
      <c r="C201" s="69"/>
      <c r="D201" s="27" t="s">
        <v>179</v>
      </c>
      <c r="E201" s="35">
        <v>2</v>
      </c>
      <c r="F201" s="36">
        <v>0</v>
      </c>
      <c r="G201" s="37">
        <f>(1+F201)*E201</f>
        <v>2</v>
      </c>
      <c r="H201" s="38" t="s">
        <v>3</v>
      </c>
      <c r="I201" s="19">
        <v>348.94</v>
      </c>
      <c r="J201" s="19">
        <f t="shared" ref="J201" si="130">I201*G201</f>
        <v>697.88</v>
      </c>
      <c r="K201" s="31">
        <v>1.44</v>
      </c>
      <c r="L201" s="19">
        <f t="shared" ref="L201" si="131">$O$163</f>
        <v>45</v>
      </c>
      <c r="M201" s="32">
        <f t="shared" ref="M201" si="132">K201*G201</f>
        <v>2.88</v>
      </c>
      <c r="N201" s="11">
        <f t="shared" ref="N201" si="133">M201*L201</f>
        <v>129.6</v>
      </c>
      <c r="O201" s="11">
        <f t="shared" ref="O201" si="134">N201+J201</f>
        <v>827.48</v>
      </c>
      <c r="P201" s="54"/>
      <c r="Q201" s="39"/>
      <c r="R201" s="39"/>
      <c r="U201" s="41"/>
    </row>
    <row r="202" spans="1:21" s="40" customFormat="1">
      <c r="A202" s="33" t="str">
        <f>IF(H202&lt;&gt;"",1+MAX($A$5:A201),"")</f>
        <v/>
      </c>
      <c r="B202" s="79"/>
      <c r="C202" s="69"/>
      <c r="D202" s="27"/>
      <c r="E202" s="35"/>
      <c r="F202" s="36"/>
      <c r="G202" s="37"/>
      <c r="H202" s="38"/>
      <c r="I202" s="19"/>
      <c r="J202" s="19"/>
      <c r="K202" s="31"/>
      <c r="L202" s="19"/>
      <c r="M202" s="32"/>
      <c r="N202" s="11"/>
      <c r="O202" s="11"/>
      <c r="P202" s="54"/>
      <c r="Q202" s="39"/>
      <c r="R202" s="39"/>
      <c r="U202" s="41"/>
    </row>
    <row r="203" spans="1:21" s="40" customFormat="1">
      <c r="A203" s="33" t="str">
        <f>IF(H203&lt;&gt;"",1+MAX($A$5:A202),"")</f>
        <v/>
      </c>
      <c r="B203" s="79"/>
      <c r="C203" s="69"/>
      <c r="D203" s="94" t="s">
        <v>180</v>
      </c>
      <c r="E203" s="35"/>
      <c r="F203" s="36"/>
      <c r="G203" s="37"/>
      <c r="H203" s="38"/>
      <c r="I203" s="19"/>
      <c r="J203" s="19"/>
      <c r="K203" s="31"/>
      <c r="L203" s="19"/>
      <c r="M203" s="32"/>
      <c r="N203" s="11"/>
      <c r="O203" s="11"/>
      <c r="P203" s="54"/>
      <c r="Q203" s="39"/>
      <c r="R203" s="39"/>
      <c r="U203" s="41"/>
    </row>
    <row r="204" spans="1:21" s="40" customFormat="1">
      <c r="A204" s="33">
        <f>IF(H204&lt;&gt;"",1+MAX($A$5:A203),"")</f>
        <v>163</v>
      </c>
      <c r="B204" s="79"/>
      <c r="C204" s="69"/>
      <c r="D204" s="27" t="s">
        <v>181</v>
      </c>
      <c r="E204" s="35">
        <v>10</v>
      </c>
      <c r="F204" s="36">
        <v>0.1</v>
      </c>
      <c r="G204" s="37">
        <f>(1+F204)*E204</f>
        <v>11</v>
      </c>
      <c r="H204" s="38" t="s">
        <v>4</v>
      </c>
      <c r="I204" s="19">
        <v>39.511479999999999</v>
      </c>
      <c r="J204" s="19">
        <f t="shared" ref="J204" si="135">I204*G204</f>
        <v>434.62628000000001</v>
      </c>
      <c r="K204" s="31">
        <v>0.14399999999999999</v>
      </c>
      <c r="L204" s="19">
        <f t="shared" ref="L204" si="136">$O$163</f>
        <v>45</v>
      </c>
      <c r="M204" s="32">
        <f t="shared" ref="M204" si="137">K204*G204</f>
        <v>1.5839999999999999</v>
      </c>
      <c r="N204" s="11">
        <f t="shared" ref="N204" si="138">M204*L204</f>
        <v>71.279999999999987</v>
      </c>
      <c r="O204" s="11">
        <f t="shared" ref="O204" si="139">N204+J204</f>
        <v>505.90627999999998</v>
      </c>
      <c r="P204" s="54"/>
      <c r="Q204" s="39"/>
      <c r="R204" s="39"/>
      <c r="U204" s="41"/>
    </row>
    <row r="205" spans="1:21" s="40" customFormat="1">
      <c r="A205" s="33" t="str">
        <f>IF(H205&lt;&gt;"",1+MAX($A$5:A204),"")</f>
        <v/>
      </c>
      <c r="B205" s="79"/>
      <c r="C205" s="69"/>
      <c r="D205" s="27"/>
      <c r="E205" s="35"/>
      <c r="F205" s="36"/>
      <c r="G205" s="37"/>
      <c r="H205" s="38"/>
      <c r="I205" s="19"/>
      <c r="J205" s="19"/>
      <c r="K205" s="31"/>
      <c r="L205" s="19"/>
      <c r="M205" s="32"/>
      <c r="N205" s="11"/>
      <c r="O205" s="11"/>
      <c r="P205" s="54"/>
      <c r="Q205" s="39"/>
      <c r="R205" s="39"/>
      <c r="U205" s="41"/>
    </row>
    <row r="206" spans="1:21" s="107" customFormat="1" ht="18">
      <c r="A206" s="98" t="str">
        <f>IF(H206&lt;&gt;"",1+MAX($A$5:A206),"")</f>
        <v/>
      </c>
      <c r="B206" s="99"/>
      <c r="C206" s="99"/>
      <c r="D206" s="100" t="s">
        <v>113</v>
      </c>
      <c r="E206" s="101"/>
      <c r="F206" s="102"/>
      <c r="G206" s="103"/>
      <c r="H206" s="102"/>
      <c r="I206" s="102"/>
      <c r="J206" s="102"/>
      <c r="K206" s="102"/>
      <c r="L206" s="102"/>
      <c r="M206" s="102"/>
      <c r="N206" s="104"/>
      <c r="O206" s="102"/>
      <c r="P206" s="105">
        <f>SUM(O209:O296)</f>
        <v>143173.46232019996</v>
      </c>
      <c r="Q206" s="39"/>
      <c r="R206" s="106"/>
      <c r="U206" s="108"/>
    </row>
    <row r="207" spans="1:21" s="3" customFormat="1">
      <c r="A207" s="33" t="str">
        <f>IF(H207&lt;&gt;"",1+MAX($A$5:A206),"")</f>
        <v/>
      </c>
      <c r="B207" s="62"/>
      <c r="C207" s="68"/>
      <c r="D207" s="63"/>
      <c r="E207" s="15"/>
      <c r="F207" s="16"/>
      <c r="G207" s="21"/>
      <c r="H207" s="17"/>
      <c r="I207" s="17"/>
      <c r="J207" s="17"/>
      <c r="K207" s="17"/>
      <c r="L207" s="17"/>
      <c r="M207" s="17"/>
      <c r="N207" s="82" t="s">
        <v>20</v>
      </c>
      <c r="O207" s="29">
        <v>45</v>
      </c>
      <c r="P207" s="54"/>
      <c r="Q207" s="39"/>
      <c r="R207" s="2"/>
      <c r="U207" s="14"/>
    </row>
    <row r="208" spans="1:21" s="40" customFormat="1">
      <c r="A208" s="33" t="str">
        <f>IF(H208&lt;&gt;"",1+MAX($A$5:A207),"")</f>
        <v/>
      </c>
      <c r="B208" s="79"/>
      <c r="C208" s="69"/>
      <c r="D208" s="75" t="s">
        <v>101</v>
      </c>
      <c r="E208" s="35"/>
      <c r="F208" s="36"/>
      <c r="G208" s="37"/>
      <c r="H208" s="38"/>
      <c r="I208" s="19"/>
      <c r="J208" s="19"/>
      <c r="K208" s="31"/>
      <c r="L208" s="19"/>
      <c r="M208" s="32"/>
      <c r="N208" s="11"/>
      <c r="O208" s="11"/>
      <c r="P208" s="54"/>
      <c r="Q208" s="39"/>
      <c r="R208" s="39"/>
      <c r="U208" s="41"/>
    </row>
    <row r="209" spans="1:21" s="40" customFormat="1">
      <c r="A209" s="33" t="str">
        <f>IF(H209&lt;&gt;"",1+MAX($A$5:A208),"")</f>
        <v/>
      </c>
      <c r="B209" s="79"/>
      <c r="C209" s="69"/>
      <c r="D209" s="94" t="s">
        <v>102</v>
      </c>
      <c r="E209" s="35"/>
      <c r="F209" s="36"/>
      <c r="G209" s="37"/>
      <c r="H209" s="38"/>
      <c r="I209" s="19"/>
      <c r="J209" s="19"/>
      <c r="K209" s="31"/>
      <c r="L209" s="19"/>
      <c r="M209" s="32"/>
      <c r="N209" s="11"/>
      <c r="O209" s="11"/>
      <c r="P209" s="54"/>
      <c r="Q209" s="39"/>
      <c r="R209" s="39"/>
      <c r="U209" s="41"/>
    </row>
    <row r="210" spans="1:21" s="40" customFormat="1">
      <c r="A210" s="33">
        <f>IF(H210&lt;&gt;"",1+MAX($A$5:A209),"")</f>
        <v>164</v>
      </c>
      <c r="B210" s="79"/>
      <c r="C210" s="69"/>
      <c r="D210" s="27" t="s">
        <v>182</v>
      </c>
      <c r="E210" s="35">
        <v>51</v>
      </c>
      <c r="F210" s="36">
        <v>0</v>
      </c>
      <c r="G210" s="37">
        <f>(1+F210)*E210</f>
        <v>51</v>
      </c>
      <c r="H210" s="38" t="s">
        <v>3</v>
      </c>
      <c r="I210" s="19">
        <v>66.298599999999993</v>
      </c>
      <c r="J210" s="19">
        <f t="shared" ref="J210" si="140">I210*G210</f>
        <v>3381.2285999999995</v>
      </c>
      <c r="K210" s="31">
        <f>2*9.5*0.045</f>
        <v>0.85499999999999998</v>
      </c>
      <c r="L210" s="19">
        <f>$O$207</f>
        <v>45</v>
      </c>
      <c r="M210" s="32">
        <f t="shared" ref="M210" si="141">K210*G210</f>
        <v>43.604999999999997</v>
      </c>
      <c r="N210" s="11">
        <f t="shared" ref="N210" si="142">M210*L210</f>
        <v>1962.2249999999999</v>
      </c>
      <c r="O210" s="11">
        <f t="shared" ref="O210" si="143">N210+J210</f>
        <v>5343.4535999999989</v>
      </c>
      <c r="P210" s="54"/>
      <c r="Q210" s="39"/>
      <c r="R210" s="39"/>
      <c r="U210" s="41"/>
    </row>
    <row r="211" spans="1:21" s="40" customFormat="1">
      <c r="A211" s="33">
        <f>IF(H211&lt;&gt;"",1+MAX($A$5:A210),"")</f>
        <v>165</v>
      </c>
      <c r="B211" s="79"/>
      <c r="C211" s="69"/>
      <c r="D211" s="27" t="s">
        <v>183</v>
      </c>
      <c r="E211" s="35">
        <v>24</v>
      </c>
      <c r="F211" s="36">
        <v>0</v>
      </c>
      <c r="G211" s="37">
        <f>(1+F211)*E211</f>
        <v>24</v>
      </c>
      <c r="H211" s="38" t="s">
        <v>3</v>
      </c>
      <c r="I211" s="19">
        <v>99.44789999999999</v>
      </c>
      <c r="J211" s="19">
        <f t="shared" ref="J211:J214" si="144">I211*G211</f>
        <v>2386.7495999999996</v>
      </c>
      <c r="K211" s="31">
        <f>3*9.5*0.045</f>
        <v>1.2825</v>
      </c>
      <c r="L211" s="19">
        <f t="shared" ref="L211:L214" si="145">$O$207</f>
        <v>45</v>
      </c>
      <c r="M211" s="32">
        <f t="shared" ref="M211:M214" si="146">K211*G211</f>
        <v>30.78</v>
      </c>
      <c r="N211" s="11">
        <f t="shared" ref="N211:N214" si="147">M211*L211</f>
        <v>1385.1000000000001</v>
      </c>
      <c r="O211" s="11">
        <f t="shared" ref="O211:O214" si="148">N211+J211</f>
        <v>3771.8495999999996</v>
      </c>
      <c r="P211" s="54"/>
      <c r="Q211" s="39"/>
      <c r="R211" s="39"/>
      <c r="U211" s="41"/>
    </row>
    <row r="212" spans="1:21" s="40" customFormat="1">
      <c r="A212" s="33">
        <f>IF(H212&lt;&gt;"",1+MAX($A$5:A211),"")</f>
        <v>166</v>
      </c>
      <c r="B212" s="79"/>
      <c r="C212" s="69"/>
      <c r="D212" s="27" t="s">
        <v>184</v>
      </c>
      <c r="E212" s="35">
        <v>4</v>
      </c>
      <c r="F212" s="36">
        <v>0</v>
      </c>
      <c r="G212" s="37">
        <f>(1+F212)*E212</f>
        <v>4</v>
      </c>
      <c r="H212" s="38" t="s">
        <v>3</v>
      </c>
      <c r="I212" s="19">
        <v>122.06207999999999</v>
      </c>
      <c r="J212" s="19">
        <f t="shared" si="144"/>
        <v>488.24831999999998</v>
      </c>
      <c r="K212" s="31">
        <f>0.12*9.5</f>
        <v>1.1399999999999999</v>
      </c>
      <c r="L212" s="19">
        <f t="shared" si="145"/>
        <v>45</v>
      </c>
      <c r="M212" s="32">
        <f t="shared" si="146"/>
        <v>4.5599999999999996</v>
      </c>
      <c r="N212" s="11">
        <f t="shared" si="147"/>
        <v>205.2</v>
      </c>
      <c r="O212" s="11">
        <f t="shared" si="148"/>
        <v>693.44831999999997</v>
      </c>
      <c r="P212" s="54"/>
      <c r="Q212" s="39"/>
      <c r="R212" s="39"/>
      <c r="U212" s="41"/>
    </row>
    <row r="213" spans="1:21" s="40" customFormat="1">
      <c r="A213" s="33">
        <f>IF(H213&lt;&gt;"",1+MAX($A$5:A212),"")</f>
        <v>167</v>
      </c>
      <c r="B213" s="79"/>
      <c r="C213" s="69"/>
      <c r="D213" s="27" t="s">
        <v>185</v>
      </c>
      <c r="E213" s="35">
        <v>5</v>
      </c>
      <c r="F213" s="36">
        <v>0</v>
      </c>
      <c r="G213" s="37">
        <f>(1+F213)*E213</f>
        <v>5</v>
      </c>
      <c r="H213" s="38" t="s">
        <v>3</v>
      </c>
      <c r="I213" s="19">
        <v>158.39008000000001</v>
      </c>
      <c r="J213" s="19">
        <f t="shared" si="144"/>
        <v>791.95040000000006</v>
      </c>
      <c r="K213" s="31">
        <f>0.145*9.5</f>
        <v>1.3774999999999999</v>
      </c>
      <c r="L213" s="19">
        <f t="shared" si="145"/>
        <v>45</v>
      </c>
      <c r="M213" s="32">
        <f t="shared" si="146"/>
        <v>6.8874999999999993</v>
      </c>
      <c r="N213" s="11">
        <f t="shared" si="147"/>
        <v>309.93749999999994</v>
      </c>
      <c r="O213" s="11">
        <f t="shared" si="148"/>
        <v>1101.8878999999999</v>
      </c>
      <c r="P213" s="54"/>
      <c r="Q213" s="39"/>
      <c r="R213" s="39"/>
      <c r="U213" s="41"/>
    </row>
    <row r="214" spans="1:21" s="40" customFormat="1">
      <c r="A214" s="33">
        <f>IF(H214&lt;&gt;"",1+MAX($A$5:A213),"")</f>
        <v>168</v>
      </c>
      <c r="B214" s="79"/>
      <c r="C214" s="69"/>
      <c r="D214" s="27" t="s">
        <v>186</v>
      </c>
      <c r="E214" s="35">
        <v>23</v>
      </c>
      <c r="F214" s="36">
        <v>0</v>
      </c>
      <c r="G214" s="37">
        <f>(1+F214)*E214</f>
        <v>23</v>
      </c>
      <c r="H214" s="38" t="s">
        <v>3</v>
      </c>
      <c r="I214" s="19">
        <v>240.12807999999998</v>
      </c>
      <c r="J214" s="19">
        <f t="shared" si="144"/>
        <v>5522.9458399999994</v>
      </c>
      <c r="K214" s="31">
        <f>0.185*9.5</f>
        <v>1.7575000000000001</v>
      </c>
      <c r="L214" s="19">
        <f t="shared" si="145"/>
        <v>45</v>
      </c>
      <c r="M214" s="32">
        <f t="shared" si="146"/>
        <v>40.422499999999999</v>
      </c>
      <c r="N214" s="11">
        <f t="shared" si="147"/>
        <v>1819.0125</v>
      </c>
      <c r="O214" s="11">
        <f t="shared" si="148"/>
        <v>7341.9583399999992</v>
      </c>
      <c r="P214" s="54"/>
      <c r="Q214" s="39"/>
      <c r="R214" s="39"/>
      <c r="U214" s="41"/>
    </row>
    <row r="215" spans="1:21" s="40" customFormat="1">
      <c r="A215" s="33" t="str">
        <f>IF(H215&lt;&gt;"",1+MAX($A$5:A214),"")</f>
        <v/>
      </c>
      <c r="B215" s="79"/>
      <c r="C215" s="69"/>
      <c r="D215" s="27" t="s">
        <v>96</v>
      </c>
      <c r="E215" s="35"/>
      <c r="F215" s="36"/>
      <c r="G215" s="37"/>
      <c r="H215" s="38"/>
      <c r="I215" s="19"/>
      <c r="J215" s="19"/>
      <c r="K215" s="31"/>
      <c r="L215" s="19"/>
      <c r="M215" s="32"/>
      <c r="N215" s="11"/>
      <c r="O215" s="11"/>
      <c r="P215" s="54"/>
      <c r="Q215" s="39"/>
      <c r="R215" s="39"/>
      <c r="U215" s="41"/>
    </row>
    <row r="216" spans="1:21" s="40" customFormat="1">
      <c r="A216" s="33" t="str">
        <f>IF(H216&lt;&gt;"",1+MAX($A$5:A215),"")</f>
        <v/>
      </c>
      <c r="B216" s="79"/>
      <c r="C216" s="69"/>
      <c r="D216" s="75" t="s">
        <v>103</v>
      </c>
      <c r="E216" s="35"/>
      <c r="F216" s="36"/>
      <c r="G216" s="37"/>
      <c r="H216" s="38"/>
      <c r="I216" s="19"/>
      <c r="J216" s="19"/>
      <c r="K216" s="31"/>
      <c r="L216" s="19"/>
      <c r="M216" s="32"/>
      <c r="N216" s="11"/>
      <c r="O216" s="11"/>
      <c r="P216" s="54"/>
      <c r="Q216" s="39"/>
      <c r="R216" s="39"/>
      <c r="U216" s="41"/>
    </row>
    <row r="217" spans="1:21" s="40" customFormat="1">
      <c r="A217" s="33" t="str">
        <f>IF(H217&lt;&gt;"",1+MAX($A$5:A216),"")</f>
        <v/>
      </c>
      <c r="B217" s="79"/>
      <c r="C217" s="69"/>
      <c r="D217" s="94" t="s">
        <v>187</v>
      </c>
      <c r="E217" s="35"/>
      <c r="F217" s="36"/>
      <c r="G217" s="37"/>
      <c r="H217" s="38"/>
      <c r="I217" s="19"/>
      <c r="J217" s="19"/>
      <c r="K217" s="31"/>
      <c r="L217" s="19"/>
      <c r="M217" s="32"/>
      <c r="N217" s="11"/>
      <c r="O217" s="11"/>
      <c r="P217" s="54"/>
      <c r="Q217" s="39"/>
      <c r="R217" s="39"/>
      <c r="U217" s="41"/>
    </row>
    <row r="218" spans="1:21" s="40" customFormat="1">
      <c r="A218" s="33">
        <f>IF(H218&lt;&gt;"",1+MAX($A$5:A217),"")</f>
        <v>169</v>
      </c>
      <c r="B218" s="79"/>
      <c r="C218" s="69"/>
      <c r="D218" s="27" t="s">
        <v>188</v>
      </c>
      <c r="E218" s="35">
        <v>15.6</v>
      </c>
      <c r="F218" s="36">
        <v>0.1</v>
      </c>
      <c r="G218" s="37">
        <f t="shared" ref="G218:G231" si="149">(1+F218)*E218</f>
        <v>17.16</v>
      </c>
      <c r="H218" s="38" t="s">
        <v>4</v>
      </c>
      <c r="I218" s="19">
        <v>3.6997200000000001</v>
      </c>
      <c r="J218" s="19">
        <f t="shared" ref="J218:J231" si="150">I218*G218</f>
        <v>63.487195200000002</v>
      </c>
      <c r="K218" s="31">
        <v>4.4999999999999998E-2</v>
      </c>
      <c r="L218" s="19">
        <f t="shared" ref="L218:L231" si="151">$O$207</f>
        <v>45</v>
      </c>
      <c r="M218" s="32">
        <f t="shared" ref="M218:M231" si="152">K218*G218</f>
        <v>0.7722</v>
      </c>
      <c r="N218" s="11">
        <f t="shared" ref="N218:N231" si="153">M218*L218</f>
        <v>34.749000000000002</v>
      </c>
      <c r="O218" s="11">
        <f t="shared" ref="O218:O231" si="154">N218+J218</f>
        <v>98.236195199999997</v>
      </c>
      <c r="P218" s="54"/>
      <c r="Q218" s="39"/>
      <c r="R218" s="39"/>
      <c r="U218" s="41"/>
    </row>
    <row r="219" spans="1:21" s="40" customFormat="1">
      <c r="A219" s="33">
        <f>IF(H219&lt;&gt;"",1+MAX($A$5:A218),"")</f>
        <v>170</v>
      </c>
      <c r="B219" s="79"/>
      <c r="C219" s="69"/>
      <c r="D219" s="27" t="s">
        <v>189</v>
      </c>
      <c r="E219" s="35">
        <v>10.84</v>
      </c>
      <c r="F219" s="36">
        <v>0.1</v>
      </c>
      <c r="G219" s="37">
        <f t="shared" si="149"/>
        <v>11.924000000000001</v>
      </c>
      <c r="H219" s="38" t="s">
        <v>4</v>
      </c>
      <c r="I219" s="19">
        <v>3.93872</v>
      </c>
      <c r="J219" s="19">
        <f t="shared" si="150"/>
        <v>46.965297280000001</v>
      </c>
      <c r="K219" s="31">
        <v>0.05</v>
      </c>
      <c r="L219" s="19">
        <f t="shared" si="151"/>
        <v>45</v>
      </c>
      <c r="M219" s="32">
        <f t="shared" si="152"/>
        <v>0.59620000000000006</v>
      </c>
      <c r="N219" s="11">
        <f t="shared" si="153"/>
        <v>26.829000000000004</v>
      </c>
      <c r="O219" s="11">
        <f t="shared" si="154"/>
        <v>73.794297280000009</v>
      </c>
      <c r="P219" s="54"/>
      <c r="Q219" s="39"/>
      <c r="R219" s="39"/>
      <c r="U219" s="41"/>
    </row>
    <row r="220" spans="1:21" s="40" customFormat="1">
      <c r="A220" s="33">
        <f>IF(H220&lt;&gt;"",1+MAX($A$5:A219),"")</f>
        <v>171</v>
      </c>
      <c r="B220" s="79"/>
      <c r="C220" s="69"/>
      <c r="D220" s="27" t="s">
        <v>190</v>
      </c>
      <c r="E220" s="35">
        <v>13.75</v>
      </c>
      <c r="F220" s="36">
        <v>0.1</v>
      </c>
      <c r="G220" s="37">
        <f t="shared" si="149"/>
        <v>15.125000000000002</v>
      </c>
      <c r="H220" s="38" t="s">
        <v>4</v>
      </c>
      <c r="I220" s="19">
        <v>8.5084</v>
      </c>
      <c r="J220" s="19">
        <f t="shared" si="150"/>
        <v>128.68955000000003</v>
      </c>
      <c r="K220" s="31">
        <f>2*0.06</f>
        <v>0.12</v>
      </c>
      <c r="L220" s="19">
        <f t="shared" si="151"/>
        <v>45</v>
      </c>
      <c r="M220" s="32">
        <f t="shared" si="152"/>
        <v>1.8150000000000002</v>
      </c>
      <c r="N220" s="11">
        <f t="shared" si="153"/>
        <v>81.675000000000011</v>
      </c>
      <c r="O220" s="11">
        <f t="shared" si="154"/>
        <v>210.36455000000004</v>
      </c>
      <c r="P220" s="54"/>
      <c r="Q220" s="39"/>
      <c r="R220" s="39"/>
      <c r="U220" s="41"/>
    </row>
    <row r="221" spans="1:21" s="40" customFormat="1">
      <c r="A221" s="33">
        <f>IF(H221&lt;&gt;"",1+MAX($A$5:A220),"")</f>
        <v>172</v>
      </c>
      <c r="B221" s="79"/>
      <c r="C221" s="69"/>
      <c r="D221" s="27" t="s">
        <v>191</v>
      </c>
      <c r="E221" s="35">
        <v>95</v>
      </c>
      <c r="F221" s="36">
        <v>0.1</v>
      </c>
      <c r="G221" s="37">
        <f t="shared" si="149"/>
        <v>104.50000000000001</v>
      </c>
      <c r="H221" s="38" t="s">
        <v>4</v>
      </c>
      <c r="I221" s="19">
        <v>6.9787999999999997</v>
      </c>
      <c r="J221" s="19">
        <f t="shared" si="150"/>
        <v>729.28460000000007</v>
      </c>
      <c r="K221" s="31">
        <f>0.05*2</f>
        <v>0.1</v>
      </c>
      <c r="L221" s="19">
        <f t="shared" si="151"/>
        <v>45</v>
      </c>
      <c r="M221" s="32">
        <f t="shared" si="152"/>
        <v>10.450000000000003</v>
      </c>
      <c r="N221" s="11">
        <f t="shared" si="153"/>
        <v>470.25000000000011</v>
      </c>
      <c r="O221" s="11">
        <f t="shared" si="154"/>
        <v>1199.5346000000002</v>
      </c>
      <c r="P221" s="54"/>
      <c r="Q221" s="39"/>
      <c r="R221" s="39"/>
      <c r="U221" s="41"/>
    </row>
    <row r="222" spans="1:21" s="40" customFormat="1">
      <c r="A222" s="33">
        <f>IF(H222&lt;&gt;"",1+MAX($A$5:A221),"")</f>
        <v>173</v>
      </c>
      <c r="B222" s="79"/>
      <c r="C222" s="69"/>
      <c r="D222" s="27" t="s">
        <v>192</v>
      </c>
      <c r="E222" s="35">
        <v>5.21</v>
      </c>
      <c r="F222" s="36">
        <v>0.1</v>
      </c>
      <c r="G222" s="37">
        <f t="shared" si="149"/>
        <v>5.7310000000000008</v>
      </c>
      <c r="H222" s="38" t="s">
        <v>4</v>
      </c>
      <c r="I222" s="19">
        <v>10.4682</v>
      </c>
      <c r="J222" s="19">
        <f t="shared" si="150"/>
        <v>59.993254200000003</v>
      </c>
      <c r="K222" s="31">
        <f>0.05*3</f>
        <v>0.15000000000000002</v>
      </c>
      <c r="L222" s="19">
        <f t="shared" si="151"/>
        <v>45</v>
      </c>
      <c r="M222" s="32">
        <f t="shared" si="152"/>
        <v>0.85965000000000025</v>
      </c>
      <c r="N222" s="11">
        <f t="shared" si="153"/>
        <v>38.684250000000013</v>
      </c>
      <c r="O222" s="11">
        <f t="shared" si="154"/>
        <v>98.677504200000016</v>
      </c>
      <c r="P222" s="54"/>
      <c r="Q222" s="39"/>
      <c r="R222" s="39"/>
      <c r="U222" s="41"/>
    </row>
    <row r="223" spans="1:21" s="40" customFormat="1">
      <c r="A223" s="33">
        <f>IF(H223&lt;&gt;"",1+MAX($A$5:A222),"")</f>
        <v>174</v>
      </c>
      <c r="B223" s="79"/>
      <c r="C223" s="69"/>
      <c r="D223" s="27" t="s">
        <v>193</v>
      </c>
      <c r="E223" s="35">
        <v>8.1199999999999992</v>
      </c>
      <c r="F223" s="36">
        <v>0.1</v>
      </c>
      <c r="G223" s="37">
        <f t="shared" si="149"/>
        <v>8.9320000000000004</v>
      </c>
      <c r="H223" s="38" t="s">
        <v>4</v>
      </c>
      <c r="I223" s="19">
        <v>11.816159999999998</v>
      </c>
      <c r="J223" s="19">
        <f t="shared" si="150"/>
        <v>105.54194111999999</v>
      </c>
      <c r="K223" s="31">
        <f>0.05*3</f>
        <v>0.15000000000000002</v>
      </c>
      <c r="L223" s="19">
        <f t="shared" si="151"/>
        <v>45</v>
      </c>
      <c r="M223" s="32">
        <f t="shared" si="152"/>
        <v>1.3398000000000003</v>
      </c>
      <c r="N223" s="11">
        <f t="shared" si="153"/>
        <v>60.291000000000011</v>
      </c>
      <c r="O223" s="11">
        <f t="shared" si="154"/>
        <v>165.83294111999999</v>
      </c>
      <c r="P223" s="54"/>
      <c r="Q223" s="39"/>
      <c r="R223" s="39"/>
      <c r="U223" s="41"/>
    </row>
    <row r="224" spans="1:21" s="40" customFormat="1">
      <c r="A224" s="33">
        <f>IF(H224&lt;&gt;"",1+MAX($A$5:A223),"")</f>
        <v>175</v>
      </c>
      <c r="B224" s="79"/>
      <c r="C224" s="69"/>
      <c r="D224" s="27" t="s">
        <v>194</v>
      </c>
      <c r="E224" s="35">
        <v>5.64</v>
      </c>
      <c r="F224" s="36">
        <v>0.1</v>
      </c>
      <c r="G224" s="37">
        <f t="shared" si="149"/>
        <v>6.2039999999999997</v>
      </c>
      <c r="H224" s="38" t="s">
        <v>4</v>
      </c>
      <c r="I224" s="19">
        <v>21.032</v>
      </c>
      <c r="J224" s="19">
        <f t="shared" si="150"/>
        <v>130.482528</v>
      </c>
      <c r="K224" s="31">
        <v>0.154</v>
      </c>
      <c r="L224" s="19">
        <f t="shared" si="151"/>
        <v>45</v>
      </c>
      <c r="M224" s="32">
        <f t="shared" si="152"/>
        <v>0.95541599999999993</v>
      </c>
      <c r="N224" s="11">
        <f t="shared" si="153"/>
        <v>42.993719999999996</v>
      </c>
      <c r="O224" s="11">
        <f t="shared" si="154"/>
        <v>173.476248</v>
      </c>
      <c r="P224" s="54"/>
      <c r="Q224" s="39"/>
      <c r="R224" s="39"/>
      <c r="U224" s="41"/>
    </row>
    <row r="225" spans="1:21" s="40" customFormat="1">
      <c r="A225" s="33">
        <f>IF(H225&lt;&gt;"",1+MAX($A$5:A224),"")</f>
        <v>176</v>
      </c>
      <c r="B225" s="79"/>
      <c r="C225" s="69"/>
      <c r="D225" s="27" t="s">
        <v>195</v>
      </c>
      <c r="E225" s="35">
        <v>19</v>
      </c>
      <c r="F225" s="36">
        <v>0.1</v>
      </c>
      <c r="G225" s="37">
        <f t="shared" si="149"/>
        <v>20.900000000000002</v>
      </c>
      <c r="H225" s="38" t="s">
        <v>4</v>
      </c>
      <c r="I225" s="19">
        <v>16.672640000000001</v>
      </c>
      <c r="J225" s="19">
        <f t="shared" si="150"/>
        <v>348.45817600000004</v>
      </c>
      <c r="K225" s="31">
        <v>0.14399999999999999</v>
      </c>
      <c r="L225" s="19">
        <f t="shared" si="151"/>
        <v>45</v>
      </c>
      <c r="M225" s="32">
        <f t="shared" si="152"/>
        <v>3.0096000000000003</v>
      </c>
      <c r="N225" s="11">
        <f t="shared" si="153"/>
        <v>135.43200000000002</v>
      </c>
      <c r="O225" s="11">
        <f t="shared" si="154"/>
        <v>483.89017600000005</v>
      </c>
      <c r="P225" s="54"/>
      <c r="Q225" s="39"/>
      <c r="R225" s="39"/>
      <c r="U225" s="41"/>
    </row>
    <row r="226" spans="1:21" s="40" customFormat="1">
      <c r="A226" s="33">
        <f>IF(H226&lt;&gt;"",1+MAX($A$5:A225),"")</f>
        <v>177</v>
      </c>
      <c r="B226" s="79"/>
      <c r="C226" s="69"/>
      <c r="D226" s="27" t="s">
        <v>196</v>
      </c>
      <c r="E226" s="35">
        <v>104.2</v>
      </c>
      <c r="F226" s="36">
        <v>0.1</v>
      </c>
      <c r="G226" s="37">
        <f t="shared" si="149"/>
        <v>114.62000000000002</v>
      </c>
      <c r="H226" s="38" t="s">
        <v>4</v>
      </c>
      <c r="I226" s="19">
        <v>29.827199999999998</v>
      </c>
      <c r="J226" s="19">
        <f t="shared" si="150"/>
        <v>3418.7936640000003</v>
      </c>
      <c r="K226" s="31">
        <v>0.18</v>
      </c>
      <c r="L226" s="19">
        <f t="shared" si="151"/>
        <v>45</v>
      </c>
      <c r="M226" s="32">
        <f t="shared" si="152"/>
        <v>20.631600000000002</v>
      </c>
      <c r="N226" s="11">
        <f t="shared" si="153"/>
        <v>928.42200000000014</v>
      </c>
      <c r="O226" s="11">
        <f t="shared" si="154"/>
        <v>4347.2156640000003</v>
      </c>
      <c r="P226" s="54"/>
      <c r="Q226" s="39"/>
      <c r="R226" s="39"/>
      <c r="U226" s="41"/>
    </row>
    <row r="227" spans="1:21" s="40" customFormat="1">
      <c r="A227" s="33">
        <f>IF(H227&lt;&gt;"",1+MAX($A$5:A226),"")</f>
        <v>178</v>
      </c>
      <c r="B227" s="79"/>
      <c r="C227" s="69"/>
      <c r="D227" s="27" t="s">
        <v>197</v>
      </c>
      <c r="E227" s="35">
        <v>56.72</v>
      </c>
      <c r="F227" s="36">
        <v>0.1</v>
      </c>
      <c r="G227" s="37">
        <f t="shared" si="149"/>
        <v>62.392000000000003</v>
      </c>
      <c r="H227" s="38" t="s">
        <v>4</v>
      </c>
      <c r="I227" s="19">
        <v>31.547999999999998</v>
      </c>
      <c r="J227" s="19">
        <f t="shared" si="150"/>
        <v>1968.3428160000001</v>
      </c>
      <c r="K227" s="31">
        <v>0.18</v>
      </c>
      <c r="L227" s="19">
        <f t="shared" si="151"/>
        <v>45</v>
      </c>
      <c r="M227" s="32">
        <f t="shared" si="152"/>
        <v>11.230560000000001</v>
      </c>
      <c r="N227" s="11">
        <f t="shared" si="153"/>
        <v>505.37520000000001</v>
      </c>
      <c r="O227" s="11">
        <f t="shared" si="154"/>
        <v>2473.7180160000003</v>
      </c>
      <c r="P227" s="54"/>
      <c r="Q227" s="39"/>
      <c r="R227" s="39"/>
      <c r="U227" s="41"/>
    </row>
    <row r="228" spans="1:21" s="40" customFormat="1">
      <c r="A228" s="33">
        <f>IF(H228&lt;&gt;"",1+MAX($A$5:A227),"")</f>
        <v>179</v>
      </c>
      <c r="B228" s="79"/>
      <c r="C228" s="69"/>
      <c r="D228" s="27" t="s">
        <v>198</v>
      </c>
      <c r="E228" s="35">
        <v>10.119999999999999</v>
      </c>
      <c r="F228" s="36">
        <v>0.1</v>
      </c>
      <c r="G228" s="37">
        <f t="shared" si="149"/>
        <v>11.132</v>
      </c>
      <c r="H228" s="38" t="s">
        <v>4</v>
      </c>
      <c r="I228" s="19">
        <v>25.286199999999997</v>
      </c>
      <c r="J228" s="19">
        <f t="shared" si="150"/>
        <v>281.48597839999996</v>
      </c>
      <c r="K228" s="31">
        <v>0.16500000000000001</v>
      </c>
      <c r="L228" s="19">
        <f t="shared" si="151"/>
        <v>45</v>
      </c>
      <c r="M228" s="32">
        <f t="shared" si="152"/>
        <v>1.8367800000000001</v>
      </c>
      <c r="N228" s="11">
        <f t="shared" si="153"/>
        <v>82.655100000000004</v>
      </c>
      <c r="O228" s="11">
        <f t="shared" si="154"/>
        <v>364.14107839999997</v>
      </c>
      <c r="P228" s="54"/>
      <c r="Q228" s="39"/>
      <c r="R228" s="39"/>
      <c r="U228" s="41"/>
    </row>
    <row r="229" spans="1:21" s="40" customFormat="1">
      <c r="A229" s="33">
        <f>IF(H229&lt;&gt;"",1+MAX($A$5:A228),"")</f>
        <v>180</v>
      </c>
      <c r="B229" s="79"/>
      <c r="C229" s="69"/>
      <c r="D229" s="27" t="s">
        <v>199</v>
      </c>
      <c r="E229" s="35">
        <v>122</v>
      </c>
      <c r="F229" s="36">
        <v>0.1</v>
      </c>
      <c r="G229" s="37">
        <f t="shared" si="149"/>
        <v>134.20000000000002</v>
      </c>
      <c r="H229" s="38" t="s">
        <v>4</v>
      </c>
      <c r="I229" s="19">
        <v>26.576799999999999</v>
      </c>
      <c r="J229" s="19">
        <f t="shared" si="150"/>
        <v>3566.6065600000002</v>
      </c>
      <c r="K229" s="31">
        <v>0.17599999999999999</v>
      </c>
      <c r="L229" s="19">
        <f t="shared" si="151"/>
        <v>45</v>
      </c>
      <c r="M229" s="32">
        <f t="shared" si="152"/>
        <v>23.619200000000003</v>
      </c>
      <c r="N229" s="11">
        <f t="shared" si="153"/>
        <v>1062.864</v>
      </c>
      <c r="O229" s="11">
        <f t="shared" si="154"/>
        <v>4629.4705599999998</v>
      </c>
      <c r="P229" s="54"/>
      <c r="Q229" s="39"/>
      <c r="R229" s="39"/>
      <c r="U229" s="41"/>
    </row>
    <row r="230" spans="1:21" s="40" customFormat="1">
      <c r="A230" s="33">
        <f>IF(H230&lt;&gt;"",1+MAX($A$5:A229),"")</f>
        <v>181</v>
      </c>
      <c r="B230" s="79"/>
      <c r="C230" s="69"/>
      <c r="D230" s="27" t="s">
        <v>200</v>
      </c>
      <c r="E230" s="35">
        <v>52</v>
      </c>
      <c r="F230" s="36">
        <v>0.1</v>
      </c>
      <c r="G230" s="37">
        <f t="shared" si="149"/>
        <v>57.2</v>
      </c>
      <c r="H230" s="38" t="s">
        <v>4</v>
      </c>
      <c r="I230" s="19">
        <v>26.576799999999999</v>
      </c>
      <c r="J230" s="19">
        <f t="shared" si="150"/>
        <v>1520.1929600000001</v>
      </c>
      <c r="K230" s="31">
        <v>0.17599999999999999</v>
      </c>
      <c r="L230" s="19">
        <f t="shared" si="151"/>
        <v>45</v>
      </c>
      <c r="M230" s="32">
        <f t="shared" si="152"/>
        <v>10.0672</v>
      </c>
      <c r="N230" s="11">
        <f t="shared" si="153"/>
        <v>453.024</v>
      </c>
      <c r="O230" s="11">
        <f t="shared" si="154"/>
        <v>1973.2169600000002</v>
      </c>
      <c r="P230" s="54"/>
      <c r="Q230" s="39"/>
      <c r="R230" s="39"/>
      <c r="U230" s="41"/>
    </row>
    <row r="231" spans="1:21" s="40" customFormat="1">
      <c r="A231" s="33">
        <f>IF(H231&lt;&gt;"",1+MAX($A$5:A230),"")</f>
        <v>182</v>
      </c>
      <c r="B231" s="79"/>
      <c r="C231" s="69"/>
      <c r="D231" s="27" t="s">
        <v>201</v>
      </c>
      <c r="E231" s="35">
        <v>28.92</v>
      </c>
      <c r="F231" s="36">
        <v>0.1</v>
      </c>
      <c r="G231" s="37">
        <f t="shared" si="149"/>
        <v>31.812000000000005</v>
      </c>
      <c r="H231" s="38" t="s">
        <v>4</v>
      </c>
      <c r="I231" s="19">
        <v>32.981999999999999</v>
      </c>
      <c r="J231" s="19">
        <f t="shared" si="150"/>
        <v>1049.2233840000001</v>
      </c>
      <c r="K231" s="31">
        <v>0.22</v>
      </c>
      <c r="L231" s="19">
        <f t="shared" si="151"/>
        <v>45</v>
      </c>
      <c r="M231" s="32">
        <f t="shared" si="152"/>
        <v>6.9986400000000009</v>
      </c>
      <c r="N231" s="11">
        <f t="shared" si="153"/>
        <v>314.93880000000001</v>
      </c>
      <c r="O231" s="11">
        <f t="shared" si="154"/>
        <v>1364.1621840000003</v>
      </c>
      <c r="P231" s="54"/>
      <c r="Q231" s="39"/>
      <c r="R231" s="39"/>
      <c r="U231" s="41"/>
    </row>
    <row r="232" spans="1:21" s="40" customFormat="1">
      <c r="A232" s="33" t="str">
        <f>IF(H232&lt;&gt;"",1+MAX($A$5:A231),"")</f>
        <v/>
      </c>
      <c r="B232" s="79"/>
      <c r="C232" s="69"/>
      <c r="D232" s="27"/>
      <c r="E232" s="35"/>
      <c r="F232" s="36"/>
      <c r="G232" s="37"/>
      <c r="H232" s="38"/>
      <c r="I232" s="19"/>
      <c r="J232" s="19"/>
      <c r="K232" s="31"/>
      <c r="L232" s="19"/>
      <c r="M232" s="32"/>
      <c r="N232" s="11"/>
      <c r="O232" s="11"/>
      <c r="P232" s="54"/>
      <c r="Q232" s="39"/>
      <c r="R232" s="39"/>
      <c r="U232" s="41"/>
    </row>
    <row r="233" spans="1:21" s="40" customFormat="1">
      <c r="A233" s="33" t="str">
        <f>IF(H233&lt;&gt;"",1+MAX($A$5:A232),"")</f>
        <v/>
      </c>
      <c r="B233" s="79"/>
      <c r="C233" s="69"/>
      <c r="D233" s="94" t="s">
        <v>202</v>
      </c>
      <c r="E233" s="35"/>
      <c r="F233" s="36"/>
      <c r="G233" s="37"/>
      <c r="H233" s="38"/>
      <c r="I233" s="19"/>
      <c r="J233" s="19"/>
      <c r="K233" s="31"/>
      <c r="L233" s="19"/>
      <c r="M233" s="32"/>
      <c r="N233" s="11"/>
      <c r="O233" s="11"/>
      <c r="P233" s="54"/>
      <c r="Q233" s="39"/>
      <c r="R233" s="39"/>
      <c r="U233" s="41"/>
    </row>
    <row r="234" spans="1:21" s="40" customFormat="1">
      <c r="A234" s="33">
        <f>IF(H234&lt;&gt;"",1+MAX($A$5:A233),"")</f>
        <v>183</v>
      </c>
      <c r="B234" s="79"/>
      <c r="C234" s="69"/>
      <c r="D234" s="27" t="s">
        <v>203</v>
      </c>
      <c r="E234" s="35">
        <v>84</v>
      </c>
      <c r="F234" s="36">
        <v>0.1</v>
      </c>
      <c r="G234" s="37">
        <f t="shared" ref="G234:G240" si="155">(1+F234)*E234</f>
        <v>92.4</v>
      </c>
      <c r="H234" s="38" t="s">
        <v>4</v>
      </c>
      <c r="I234" s="19">
        <v>3.2982</v>
      </c>
      <c r="J234" s="19">
        <f t="shared" ref="J234:J240" si="156">I234*G234</f>
        <v>304.75368000000003</v>
      </c>
      <c r="K234" s="31">
        <v>3.4000000000000002E-2</v>
      </c>
      <c r="L234" s="19">
        <f t="shared" ref="L234:L240" si="157">$O$207</f>
        <v>45</v>
      </c>
      <c r="M234" s="32">
        <f t="shared" ref="M234:M240" si="158">K234*G234</f>
        <v>3.1416000000000004</v>
      </c>
      <c r="N234" s="11">
        <f t="shared" ref="N234:N240" si="159">M234*L234</f>
        <v>141.37200000000001</v>
      </c>
      <c r="O234" s="11">
        <f t="shared" ref="O234:O240" si="160">N234+J234</f>
        <v>446.12568000000005</v>
      </c>
      <c r="P234" s="54"/>
      <c r="Q234" s="39"/>
      <c r="R234" s="39"/>
      <c r="U234" s="41"/>
    </row>
    <row r="235" spans="1:21" s="40" customFormat="1">
      <c r="A235" s="33">
        <f>IF(H235&lt;&gt;"",1+MAX($A$5:A234),"")</f>
        <v>184</v>
      </c>
      <c r="B235" s="79"/>
      <c r="C235" s="69"/>
      <c r="D235" s="27" t="s">
        <v>106</v>
      </c>
      <c r="E235" s="35">
        <v>59</v>
      </c>
      <c r="F235" s="36">
        <v>0.1</v>
      </c>
      <c r="G235" s="37">
        <f t="shared" si="155"/>
        <v>64.900000000000006</v>
      </c>
      <c r="H235" s="38" t="s">
        <v>4</v>
      </c>
      <c r="I235" s="19">
        <v>3.4893999999999998</v>
      </c>
      <c r="J235" s="19">
        <f t="shared" si="156"/>
        <v>226.46206000000001</v>
      </c>
      <c r="K235" s="31">
        <v>4.4999999999999998E-2</v>
      </c>
      <c r="L235" s="19">
        <f t="shared" si="157"/>
        <v>45</v>
      </c>
      <c r="M235" s="32">
        <f t="shared" si="158"/>
        <v>2.9205000000000001</v>
      </c>
      <c r="N235" s="11">
        <f t="shared" si="159"/>
        <v>131.42250000000001</v>
      </c>
      <c r="O235" s="11">
        <f t="shared" si="160"/>
        <v>357.88456000000002</v>
      </c>
      <c r="P235" s="54"/>
      <c r="Q235" s="39"/>
      <c r="R235" s="39"/>
      <c r="U235" s="41"/>
    </row>
    <row r="236" spans="1:21" s="40" customFormat="1">
      <c r="A236" s="33">
        <f>IF(H236&lt;&gt;"",1+MAX($A$5:A235),"")</f>
        <v>185</v>
      </c>
      <c r="B236" s="79"/>
      <c r="C236" s="69"/>
      <c r="D236" s="27" t="s">
        <v>204</v>
      </c>
      <c r="E236" s="35">
        <v>27.13</v>
      </c>
      <c r="F236" s="36">
        <v>0.1</v>
      </c>
      <c r="G236" s="37">
        <f t="shared" si="155"/>
        <v>29.843</v>
      </c>
      <c r="H236" s="38" t="s">
        <v>4</v>
      </c>
      <c r="I236" s="19">
        <v>3.4893999999999998</v>
      </c>
      <c r="J236" s="19">
        <f t="shared" si="156"/>
        <v>104.1341642</v>
      </c>
      <c r="K236" s="31">
        <v>4.4999999999999998E-2</v>
      </c>
      <c r="L236" s="19">
        <f t="shared" si="157"/>
        <v>45</v>
      </c>
      <c r="M236" s="32">
        <f t="shared" si="158"/>
        <v>1.342935</v>
      </c>
      <c r="N236" s="11">
        <f t="shared" si="159"/>
        <v>60.432074999999998</v>
      </c>
      <c r="O236" s="11">
        <f t="shared" si="160"/>
        <v>164.56623919999998</v>
      </c>
      <c r="P236" s="54"/>
      <c r="Q236" s="39"/>
      <c r="R236" s="39"/>
      <c r="U236" s="41"/>
    </row>
    <row r="237" spans="1:21" s="40" customFormat="1">
      <c r="A237" s="33">
        <f>IF(H237&lt;&gt;"",1+MAX($A$5:A236),"")</f>
        <v>186</v>
      </c>
      <c r="B237" s="79"/>
      <c r="C237" s="69"/>
      <c r="D237" s="27" t="s">
        <v>205</v>
      </c>
      <c r="E237" s="35">
        <v>38</v>
      </c>
      <c r="F237" s="36">
        <v>0.1</v>
      </c>
      <c r="G237" s="37">
        <f t="shared" si="155"/>
        <v>41.800000000000004</v>
      </c>
      <c r="H237" s="38" t="s">
        <v>4</v>
      </c>
      <c r="I237" s="19">
        <v>3.93872</v>
      </c>
      <c r="J237" s="19">
        <f t="shared" si="156"/>
        <v>164.638496</v>
      </c>
      <c r="K237" s="31">
        <v>5.6000000000000001E-2</v>
      </c>
      <c r="L237" s="19">
        <f t="shared" si="157"/>
        <v>45</v>
      </c>
      <c r="M237" s="32">
        <f t="shared" si="158"/>
        <v>2.3408000000000002</v>
      </c>
      <c r="N237" s="11">
        <f t="shared" si="159"/>
        <v>105.33600000000001</v>
      </c>
      <c r="O237" s="11">
        <f t="shared" si="160"/>
        <v>269.97449600000004</v>
      </c>
      <c r="P237" s="54"/>
      <c r="Q237" s="39"/>
      <c r="R237" s="39"/>
      <c r="U237" s="41"/>
    </row>
    <row r="238" spans="1:21" s="40" customFormat="1">
      <c r="A238" s="33">
        <f>IF(H238&lt;&gt;"",1+MAX($A$5:A237),"")</f>
        <v>187</v>
      </c>
      <c r="B238" s="79"/>
      <c r="C238" s="69"/>
      <c r="D238" s="27" t="s">
        <v>206</v>
      </c>
      <c r="E238" s="35">
        <v>201</v>
      </c>
      <c r="F238" s="36">
        <v>0.1</v>
      </c>
      <c r="G238" s="37">
        <f t="shared" si="155"/>
        <v>221.10000000000002</v>
      </c>
      <c r="H238" s="38" t="s">
        <v>4</v>
      </c>
      <c r="I238" s="19">
        <v>4.1107999999999993</v>
      </c>
      <c r="J238" s="19">
        <f t="shared" si="156"/>
        <v>908.89787999999999</v>
      </c>
      <c r="K238" s="31">
        <v>6.7000000000000004E-2</v>
      </c>
      <c r="L238" s="19">
        <f t="shared" si="157"/>
        <v>45</v>
      </c>
      <c r="M238" s="32">
        <f t="shared" si="158"/>
        <v>14.813700000000003</v>
      </c>
      <c r="N238" s="11">
        <f t="shared" si="159"/>
        <v>666.61650000000009</v>
      </c>
      <c r="O238" s="11">
        <f t="shared" si="160"/>
        <v>1575.5143800000001</v>
      </c>
      <c r="P238" s="54"/>
      <c r="Q238" s="39"/>
      <c r="R238" s="39"/>
      <c r="U238" s="41"/>
    </row>
    <row r="239" spans="1:21" s="40" customFormat="1">
      <c r="A239" s="33">
        <f>IF(H239&lt;&gt;"",1+MAX($A$5:A238),"")</f>
        <v>188</v>
      </c>
      <c r="B239" s="79"/>
      <c r="C239" s="69"/>
      <c r="D239" s="27" t="s">
        <v>105</v>
      </c>
      <c r="E239" s="35">
        <v>50</v>
      </c>
      <c r="F239" s="36">
        <v>0.1</v>
      </c>
      <c r="G239" s="37">
        <f t="shared" si="155"/>
        <v>55.000000000000007</v>
      </c>
      <c r="H239" s="38" t="s">
        <v>4</v>
      </c>
      <c r="I239" s="19">
        <v>4.3593599999999997</v>
      </c>
      <c r="J239" s="19">
        <f t="shared" si="156"/>
        <v>239.76480000000001</v>
      </c>
      <c r="K239" s="31">
        <v>0.08</v>
      </c>
      <c r="L239" s="19">
        <f t="shared" si="157"/>
        <v>45</v>
      </c>
      <c r="M239" s="32">
        <f t="shared" si="158"/>
        <v>4.4000000000000004</v>
      </c>
      <c r="N239" s="11">
        <f t="shared" si="159"/>
        <v>198.00000000000003</v>
      </c>
      <c r="O239" s="11">
        <f t="shared" si="160"/>
        <v>437.76480000000004</v>
      </c>
      <c r="P239" s="54"/>
      <c r="Q239" s="39"/>
      <c r="R239" s="39"/>
      <c r="U239" s="41"/>
    </row>
    <row r="240" spans="1:21" s="40" customFormat="1">
      <c r="A240" s="33">
        <f>IF(H240&lt;&gt;"",1+MAX($A$5:A239),"")</f>
        <v>189</v>
      </c>
      <c r="B240" s="79"/>
      <c r="C240" s="69"/>
      <c r="D240" s="27" t="s">
        <v>207</v>
      </c>
      <c r="E240" s="35">
        <v>19</v>
      </c>
      <c r="F240" s="36">
        <v>0</v>
      </c>
      <c r="G240" s="37">
        <f t="shared" si="155"/>
        <v>19</v>
      </c>
      <c r="H240" s="38" t="s">
        <v>3</v>
      </c>
      <c r="I240" s="19">
        <v>5.7979487999999995</v>
      </c>
      <c r="J240" s="19">
        <f t="shared" si="156"/>
        <v>110.16102719999999</v>
      </c>
      <c r="K240" s="31">
        <f>0.08*1.33</f>
        <v>0.10640000000000001</v>
      </c>
      <c r="L240" s="19">
        <f t="shared" si="157"/>
        <v>45</v>
      </c>
      <c r="M240" s="32">
        <f t="shared" si="158"/>
        <v>2.0216000000000003</v>
      </c>
      <c r="N240" s="11">
        <f t="shared" si="159"/>
        <v>90.972000000000008</v>
      </c>
      <c r="O240" s="11">
        <f t="shared" si="160"/>
        <v>201.13302720000002</v>
      </c>
      <c r="P240" s="54"/>
      <c r="Q240" s="39"/>
      <c r="R240" s="39"/>
      <c r="U240" s="41"/>
    </row>
    <row r="241" spans="1:21" s="40" customFormat="1">
      <c r="A241" s="33" t="str">
        <f>IF(H241&lt;&gt;"",1+MAX($A$5:A240),"")</f>
        <v/>
      </c>
      <c r="B241" s="79"/>
      <c r="C241" s="69"/>
      <c r="D241" s="27" t="s">
        <v>96</v>
      </c>
      <c r="E241" s="35"/>
      <c r="F241" s="36"/>
      <c r="G241" s="37"/>
      <c r="H241" s="38"/>
      <c r="I241" s="19"/>
      <c r="J241" s="19"/>
      <c r="K241" s="31"/>
      <c r="L241" s="19"/>
      <c r="M241" s="32"/>
      <c r="N241" s="11"/>
      <c r="O241" s="11"/>
      <c r="P241" s="54"/>
      <c r="Q241" s="39"/>
      <c r="R241" s="39"/>
      <c r="U241" s="41"/>
    </row>
    <row r="242" spans="1:21" s="40" customFormat="1">
      <c r="A242" s="33" t="str">
        <f>IF(H242&lt;&gt;"",1+MAX($A$5:A241),"")</f>
        <v/>
      </c>
      <c r="B242" s="79"/>
      <c r="C242" s="69"/>
      <c r="D242" s="75" t="s">
        <v>104</v>
      </c>
      <c r="E242" s="35"/>
      <c r="F242" s="36"/>
      <c r="G242" s="37"/>
      <c r="H242" s="38"/>
      <c r="I242" s="19"/>
      <c r="J242" s="19"/>
      <c r="K242" s="31"/>
      <c r="L242" s="19"/>
      <c r="M242" s="32"/>
      <c r="N242" s="11"/>
      <c r="O242" s="11"/>
      <c r="P242" s="54"/>
      <c r="Q242" s="39"/>
      <c r="R242" s="39"/>
      <c r="U242" s="41"/>
    </row>
    <row r="243" spans="1:21" s="40" customFormat="1">
      <c r="A243" s="33">
        <f>IF(H243&lt;&gt;"",1+MAX($A$5:A242),"")</f>
        <v>190</v>
      </c>
      <c r="B243" s="79"/>
      <c r="C243" s="69"/>
      <c r="D243" s="27" t="s">
        <v>208</v>
      </c>
      <c r="E243" s="35">
        <v>529</v>
      </c>
      <c r="F243" s="36">
        <v>0.08</v>
      </c>
      <c r="G243" s="37">
        <f t="shared" ref="G243:G249" si="161">(1+F243)*E243</f>
        <v>571.32000000000005</v>
      </c>
      <c r="H243" s="38" t="s">
        <v>32</v>
      </c>
      <c r="I243" s="19">
        <v>3.2504</v>
      </c>
      <c r="J243" s="19">
        <f t="shared" ref="J243:J249" si="162">I243*G243</f>
        <v>1857.0185280000001</v>
      </c>
      <c r="K243" s="31">
        <v>0.04</v>
      </c>
      <c r="L243" s="19">
        <f t="shared" ref="L243:L249" si="163">$O$207</f>
        <v>45</v>
      </c>
      <c r="M243" s="32">
        <f t="shared" ref="M243:M249" si="164">K243*G243</f>
        <v>22.852800000000002</v>
      </c>
      <c r="N243" s="11">
        <f t="shared" ref="N243:N249" si="165">M243*L243</f>
        <v>1028.3760000000002</v>
      </c>
      <c r="O243" s="11">
        <f t="shared" ref="O243:O249" si="166">N243+J243</f>
        <v>2885.3945280000003</v>
      </c>
      <c r="P243" s="54"/>
      <c r="Q243" s="39"/>
      <c r="R243" s="39"/>
      <c r="U243" s="41"/>
    </row>
    <row r="244" spans="1:21" s="40" customFormat="1">
      <c r="A244" s="33">
        <f>IF(H244&lt;&gt;"",1+MAX($A$5:A243),"")</f>
        <v>191</v>
      </c>
      <c r="B244" s="79"/>
      <c r="C244" s="69"/>
      <c r="D244" s="27" t="s">
        <v>209</v>
      </c>
      <c r="E244" s="35">
        <v>175</v>
      </c>
      <c r="F244" s="36">
        <v>0.08</v>
      </c>
      <c r="G244" s="37">
        <f t="shared" si="161"/>
        <v>189</v>
      </c>
      <c r="H244" s="38" t="s">
        <v>32</v>
      </c>
      <c r="I244" s="19">
        <v>3.2504</v>
      </c>
      <c r="J244" s="19">
        <f t="shared" si="162"/>
        <v>614.32560000000001</v>
      </c>
      <c r="K244" s="31">
        <v>0.04</v>
      </c>
      <c r="L244" s="19">
        <f t="shared" si="163"/>
        <v>45</v>
      </c>
      <c r="M244" s="32">
        <f t="shared" si="164"/>
        <v>7.5600000000000005</v>
      </c>
      <c r="N244" s="11">
        <f t="shared" si="165"/>
        <v>340.20000000000005</v>
      </c>
      <c r="O244" s="11">
        <f t="shared" si="166"/>
        <v>954.52560000000005</v>
      </c>
      <c r="P244" s="54"/>
      <c r="Q244" s="39"/>
      <c r="R244" s="39"/>
      <c r="U244" s="41"/>
    </row>
    <row r="245" spans="1:21" s="40" customFormat="1">
      <c r="A245" s="33">
        <f>IF(H245&lt;&gt;"",1+MAX($A$5:A244),"")</f>
        <v>192</v>
      </c>
      <c r="B245" s="79"/>
      <c r="C245" s="69"/>
      <c r="D245" s="27" t="s">
        <v>210</v>
      </c>
      <c r="E245" s="35">
        <v>335</v>
      </c>
      <c r="F245" s="36">
        <v>0.08</v>
      </c>
      <c r="G245" s="37">
        <f t="shared" si="161"/>
        <v>361.8</v>
      </c>
      <c r="H245" s="38" t="s">
        <v>32</v>
      </c>
      <c r="I245" s="19">
        <v>3.515212</v>
      </c>
      <c r="J245" s="19">
        <f t="shared" si="162"/>
        <v>1271.8037016000001</v>
      </c>
      <c r="K245" s="31">
        <v>4.3999999999999997E-2</v>
      </c>
      <c r="L245" s="19">
        <f t="shared" si="163"/>
        <v>45</v>
      </c>
      <c r="M245" s="32">
        <f t="shared" si="164"/>
        <v>15.9192</v>
      </c>
      <c r="N245" s="11">
        <f t="shared" si="165"/>
        <v>716.36400000000003</v>
      </c>
      <c r="O245" s="11">
        <f t="shared" si="166"/>
        <v>1988.1677016000001</v>
      </c>
      <c r="P245" s="54"/>
      <c r="Q245" s="39"/>
      <c r="R245" s="39"/>
      <c r="U245" s="41"/>
    </row>
    <row r="246" spans="1:21" s="40" customFormat="1">
      <c r="A246" s="33">
        <f>IF(H246&lt;&gt;"",1+MAX($A$5:A245),"")</f>
        <v>193</v>
      </c>
      <c r="B246" s="79"/>
      <c r="C246" s="69"/>
      <c r="D246" s="27" t="s">
        <v>211</v>
      </c>
      <c r="E246" s="35">
        <v>220</v>
      </c>
      <c r="F246" s="36">
        <v>0.08</v>
      </c>
      <c r="G246" s="37">
        <f t="shared" si="161"/>
        <v>237.60000000000002</v>
      </c>
      <c r="H246" s="38" t="s">
        <v>32</v>
      </c>
      <c r="I246" s="19">
        <v>3.0592000000000001</v>
      </c>
      <c r="J246" s="19">
        <f t="shared" si="162"/>
        <v>726.86592000000007</v>
      </c>
      <c r="K246" s="31">
        <v>0.03</v>
      </c>
      <c r="L246" s="19">
        <f t="shared" si="163"/>
        <v>45</v>
      </c>
      <c r="M246" s="32">
        <f t="shared" si="164"/>
        <v>7.1280000000000001</v>
      </c>
      <c r="N246" s="11">
        <f t="shared" si="165"/>
        <v>320.76</v>
      </c>
      <c r="O246" s="11">
        <f t="shared" si="166"/>
        <v>1047.62592</v>
      </c>
      <c r="P246" s="54"/>
      <c r="Q246" s="39"/>
      <c r="R246" s="39"/>
      <c r="U246" s="41"/>
    </row>
    <row r="247" spans="1:21" s="40" customFormat="1">
      <c r="A247" s="33">
        <f>IF(H247&lt;&gt;"",1+MAX($A$5:A246),"")</f>
        <v>194</v>
      </c>
      <c r="B247" s="79"/>
      <c r="C247" s="69"/>
      <c r="D247" s="27" t="s">
        <v>212</v>
      </c>
      <c r="E247" s="35">
        <v>118</v>
      </c>
      <c r="F247" s="36">
        <v>0.08</v>
      </c>
      <c r="G247" s="37">
        <f t="shared" si="161"/>
        <v>127.44000000000001</v>
      </c>
      <c r="H247" s="38" t="s">
        <v>32</v>
      </c>
      <c r="I247" s="19">
        <v>3.1547999999999998</v>
      </c>
      <c r="J247" s="19">
        <f t="shared" si="162"/>
        <v>402.04771199999999</v>
      </c>
      <c r="K247" s="31">
        <v>0.03</v>
      </c>
      <c r="L247" s="19">
        <f t="shared" si="163"/>
        <v>45</v>
      </c>
      <c r="M247" s="32">
        <f t="shared" si="164"/>
        <v>3.8232000000000004</v>
      </c>
      <c r="N247" s="11">
        <f t="shared" si="165"/>
        <v>172.04400000000001</v>
      </c>
      <c r="O247" s="11">
        <f t="shared" si="166"/>
        <v>574.09171200000003</v>
      </c>
      <c r="P247" s="54"/>
      <c r="Q247" s="39"/>
      <c r="R247" s="39"/>
      <c r="U247" s="41"/>
    </row>
    <row r="248" spans="1:21" s="40" customFormat="1">
      <c r="A248" s="33">
        <f>IF(H248&lt;&gt;"",1+MAX($A$5:A247),"")</f>
        <v>195</v>
      </c>
      <c r="B248" s="79"/>
      <c r="C248" s="69"/>
      <c r="D248" s="27" t="s">
        <v>213</v>
      </c>
      <c r="E248" s="35">
        <v>610</v>
      </c>
      <c r="F248" s="36">
        <v>0.08</v>
      </c>
      <c r="G248" s="37">
        <f t="shared" si="161"/>
        <v>658.80000000000007</v>
      </c>
      <c r="H248" s="38" t="s">
        <v>32</v>
      </c>
      <c r="I248" s="19">
        <v>3.1547999999999998</v>
      </c>
      <c r="J248" s="19">
        <f t="shared" si="162"/>
        <v>2078.3822399999999</v>
      </c>
      <c r="K248" s="31">
        <v>0.03</v>
      </c>
      <c r="L248" s="19">
        <f t="shared" si="163"/>
        <v>45</v>
      </c>
      <c r="M248" s="32">
        <f t="shared" si="164"/>
        <v>19.764000000000003</v>
      </c>
      <c r="N248" s="11">
        <f t="shared" si="165"/>
        <v>889.38000000000011</v>
      </c>
      <c r="O248" s="11">
        <f t="shared" si="166"/>
        <v>2967.76224</v>
      </c>
      <c r="P248" s="54"/>
      <c r="Q248" s="39"/>
      <c r="R248" s="39"/>
      <c r="U248" s="41"/>
    </row>
    <row r="249" spans="1:21" s="40" customFormat="1">
      <c r="A249" s="33">
        <f>IF(H249&lt;&gt;"",1+MAX($A$5:A248),"")</f>
        <v>196</v>
      </c>
      <c r="B249" s="79"/>
      <c r="C249" s="69"/>
      <c r="D249" s="27" t="s">
        <v>214</v>
      </c>
      <c r="E249" s="35">
        <v>341</v>
      </c>
      <c r="F249" s="36">
        <v>0.08</v>
      </c>
      <c r="G249" s="37">
        <f t="shared" si="161"/>
        <v>368.28000000000003</v>
      </c>
      <c r="H249" s="38" t="s">
        <v>32</v>
      </c>
      <c r="I249" s="19">
        <v>3.1547999999999998</v>
      </c>
      <c r="J249" s="19">
        <f t="shared" si="162"/>
        <v>1161.8497440000001</v>
      </c>
      <c r="K249" s="31">
        <v>0.03</v>
      </c>
      <c r="L249" s="19">
        <f t="shared" si="163"/>
        <v>45</v>
      </c>
      <c r="M249" s="32">
        <f t="shared" si="164"/>
        <v>11.048400000000001</v>
      </c>
      <c r="N249" s="11">
        <f t="shared" si="165"/>
        <v>497.17800000000005</v>
      </c>
      <c r="O249" s="11">
        <f t="shared" si="166"/>
        <v>1659.0277440000002</v>
      </c>
      <c r="P249" s="54"/>
      <c r="Q249" s="39"/>
      <c r="R249" s="39"/>
      <c r="U249" s="41"/>
    </row>
    <row r="250" spans="1:21" s="40" customFormat="1">
      <c r="A250" s="33" t="str">
        <f>IF(H250&lt;&gt;"",1+MAX($A$5:A249),"")</f>
        <v/>
      </c>
      <c r="B250" s="79"/>
      <c r="C250" s="69"/>
      <c r="D250" s="27" t="s">
        <v>96</v>
      </c>
      <c r="E250" s="35"/>
      <c r="F250" s="36"/>
      <c r="G250" s="37"/>
      <c r="H250" s="38"/>
      <c r="I250" s="19"/>
      <c r="J250" s="19"/>
      <c r="K250" s="31"/>
      <c r="L250" s="19"/>
      <c r="M250" s="32"/>
      <c r="N250" s="11"/>
      <c r="O250" s="11"/>
      <c r="P250" s="54"/>
      <c r="Q250" s="39"/>
      <c r="R250" s="39"/>
      <c r="U250" s="41"/>
    </row>
    <row r="251" spans="1:21" s="40" customFormat="1">
      <c r="A251" s="33" t="str">
        <f>IF(H251&lt;&gt;"",1+MAX($A$5:A250),"")</f>
        <v/>
      </c>
      <c r="B251" s="79"/>
      <c r="C251" s="69"/>
      <c r="D251" s="75" t="s">
        <v>215</v>
      </c>
      <c r="E251" s="35"/>
      <c r="F251" s="36"/>
      <c r="G251" s="37"/>
      <c r="H251" s="38"/>
      <c r="I251" s="19"/>
      <c r="J251" s="19"/>
      <c r="K251" s="31"/>
      <c r="L251" s="19"/>
      <c r="M251" s="32"/>
      <c r="N251" s="11"/>
      <c r="O251" s="11"/>
      <c r="P251" s="54"/>
      <c r="Q251" s="39"/>
      <c r="R251" s="39"/>
      <c r="U251" s="41"/>
    </row>
    <row r="252" spans="1:21" s="40" customFormat="1">
      <c r="A252" s="33" t="str">
        <f>IF(H252&lt;&gt;"",1+MAX($A$5:A251),"")</f>
        <v/>
      </c>
      <c r="B252" s="79"/>
      <c r="C252" s="69"/>
      <c r="D252" s="94" t="s">
        <v>216</v>
      </c>
      <c r="E252" s="35"/>
      <c r="F252" s="36"/>
      <c r="G252" s="37"/>
      <c r="H252" s="38"/>
      <c r="I252" s="19"/>
      <c r="J252" s="19"/>
      <c r="K252" s="31"/>
      <c r="L252" s="19"/>
      <c r="M252" s="32"/>
      <c r="N252" s="11"/>
      <c r="O252" s="11"/>
      <c r="P252" s="54"/>
      <c r="Q252" s="39"/>
      <c r="R252" s="39"/>
      <c r="U252" s="41"/>
    </row>
    <row r="253" spans="1:21" s="40" customFormat="1">
      <c r="A253" s="33">
        <f>IF(H253&lt;&gt;"",1+MAX($A$5:A252),"")</f>
        <v>197</v>
      </c>
      <c r="B253" s="79"/>
      <c r="C253" s="69"/>
      <c r="D253" s="27" t="s">
        <v>217</v>
      </c>
      <c r="E253" s="35">
        <v>205</v>
      </c>
      <c r="F253" s="36">
        <v>0.1</v>
      </c>
      <c r="G253" s="37">
        <f>(1+F253)*E253</f>
        <v>225.50000000000003</v>
      </c>
      <c r="H253" s="38" t="s">
        <v>4</v>
      </c>
      <c r="I253" s="19">
        <v>3.4893999999999998</v>
      </c>
      <c r="J253" s="19">
        <f t="shared" ref="J253" si="167">I253*G253</f>
        <v>786.85970000000009</v>
      </c>
      <c r="K253" s="31">
        <v>4.4999999999999998E-2</v>
      </c>
      <c r="L253" s="19">
        <f t="shared" ref="L253" si="168">$O$207</f>
        <v>45</v>
      </c>
      <c r="M253" s="32">
        <f t="shared" ref="M253" si="169">K253*G253</f>
        <v>10.147500000000001</v>
      </c>
      <c r="N253" s="11">
        <f t="shared" ref="N253" si="170">M253*L253</f>
        <v>456.63750000000005</v>
      </c>
      <c r="O253" s="11">
        <f t="shared" ref="O253" si="171">N253+J253</f>
        <v>1243.4972000000002</v>
      </c>
      <c r="P253" s="54"/>
      <c r="Q253" s="39"/>
      <c r="R253" s="39"/>
      <c r="U253" s="41"/>
    </row>
    <row r="254" spans="1:21" s="40" customFormat="1">
      <c r="A254" s="33" t="str">
        <f>IF(H254&lt;&gt;"",1+MAX($A$5:A253),"")</f>
        <v/>
      </c>
      <c r="B254" s="79"/>
      <c r="C254" s="69"/>
      <c r="D254" s="27" t="s">
        <v>96</v>
      </c>
      <c r="E254" s="35"/>
      <c r="F254" s="36"/>
      <c r="G254" s="37"/>
      <c r="H254" s="38"/>
      <c r="I254" s="19"/>
      <c r="J254" s="19"/>
      <c r="K254" s="31"/>
      <c r="L254" s="19"/>
      <c r="M254" s="32"/>
      <c r="N254" s="11"/>
      <c r="O254" s="11"/>
      <c r="P254" s="54"/>
      <c r="Q254" s="39"/>
      <c r="R254" s="39"/>
      <c r="U254" s="41"/>
    </row>
    <row r="255" spans="1:21" s="40" customFormat="1">
      <c r="A255" s="33" t="str">
        <f>IF(H255&lt;&gt;"",1+MAX($A$5:A254),"")</f>
        <v/>
      </c>
      <c r="B255" s="79"/>
      <c r="C255" s="69"/>
      <c r="D255" s="94" t="s">
        <v>218</v>
      </c>
      <c r="E255" s="35"/>
      <c r="F255" s="36"/>
      <c r="G255" s="37"/>
      <c r="H255" s="38"/>
      <c r="I255" s="19"/>
      <c r="J255" s="19"/>
      <c r="K255" s="31"/>
      <c r="L255" s="19"/>
      <c r="M255" s="32"/>
      <c r="N255" s="11"/>
      <c r="O255" s="11"/>
      <c r="P255" s="54"/>
      <c r="Q255" s="39"/>
      <c r="R255" s="39"/>
      <c r="U255" s="41"/>
    </row>
    <row r="256" spans="1:21" s="40" customFormat="1">
      <c r="A256" s="33">
        <f>IF(H256&lt;&gt;"",1+MAX($A$5:A255),"")</f>
        <v>198</v>
      </c>
      <c r="B256" s="79"/>
      <c r="C256" s="69"/>
      <c r="D256" s="27" t="s">
        <v>219</v>
      </c>
      <c r="E256" s="35">
        <v>83</v>
      </c>
      <c r="F256" s="36">
        <v>0.1</v>
      </c>
      <c r="G256" s="37">
        <f>(1+F256)*E256</f>
        <v>91.300000000000011</v>
      </c>
      <c r="H256" s="38" t="s">
        <v>4</v>
      </c>
      <c r="I256" s="19">
        <v>4.3019999999999996</v>
      </c>
      <c r="J256" s="19">
        <f t="shared" ref="J256" si="172">I256*G256</f>
        <v>392.77260000000001</v>
      </c>
      <c r="K256" s="31">
        <v>6.7699999999999996E-2</v>
      </c>
      <c r="L256" s="19">
        <f t="shared" ref="L256" si="173">$O$207</f>
        <v>45</v>
      </c>
      <c r="M256" s="32">
        <f t="shared" ref="M256" si="174">K256*G256</f>
        <v>6.1810100000000006</v>
      </c>
      <c r="N256" s="11">
        <f t="shared" ref="N256" si="175">M256*L256</f>
        <v>278.14545000000004</v>
      </c>
      <c r="O256" s="11">
        <f t="shared" ref="O256" si="176">N256+J256</f>
        <v>670.91804999999999</v>
      </c>
      <c r="P256" s="54"/>
      <c r="Q256" s="39"/>
      <c r="R256" s="39"/>
      <c r="U256" s="41"/>
    </row>
    <row r="257" spans="1:21" s="40" customFormat="1">
      <c r="A257" s="33" t="str">
        <f>IF(H257&lt;&gt;"",1+MAX($A$5:A256),"")</f>
        <v/>
      </c>
      <c r="B257" s="79"/>
      <c r="C257" s="69"/>
      <c r="D257" s="27" t="s">
        <v>96</v>
      </c>
      <c r="E257" s="35"/>
      <c r="F257" s="36"/>
      <c r="G257" s="37"/>
      <c r="H257" s="38"/>
      <c r="I257" s="19"/>
      <c r="J257" s="19"/>
      <c r="K257" s="31"/>
      <c r="L257" s="19"/>
      <c r="M257" s="32"/>
      <c r="N257" s="11"/>
      <c r="O257" s="11"/>
      <c r="P257" s="54"/>
      <c r="Q257" s="39"/>
      <c r="R257" s="39"/>
      <c r="U257" s="41"/>
    </row>
    <row r="258" spans="1:21" s="40" customFormat="1">
      <c r="A258" s="33" t="str">
        <f>IF(H258&lt;&gt;"",1+MAX($A$5:A257),"")</f>
        <v/>
      </c>
      <c r="B258" s="79"/>
      <c r="C258" s="69"/>
      <c r="D258" s="75" t="s">
        <v>107</v>
      </c>
      <c r="E258" s="35"/>
      <c r="F258" s="36"/>
      <c r="G258" s="37"/>
      <c r="H258" s="38"/>
      <c r="I258" s="19"/>
      <c r="J258" s="19"/>
      <c r="K258" s="31"/>
      <c r="L258" s="19"/>
      <c r="M258" s="32"/>
      <c r="N258" s="11"/>
      <c r="O258" s="11"/>
      <c r="P258" s="54"/>
      <c r="Q258" s="39"/>
      <c r="R258" s="39"/>
      <c r="U258" s="41"/>
    </row>
    <row r="259" spans="1:21" s="40" customFormat="1">
      <c r="A259" s="33" t="str">
        <f>IF(H259&lt;&gt;"",1+MAX($A$5:A258),"")</f>
        <v/>
      </c>
      <c r="B259" s="79"/>
      <c r="C259" s="69"/>
      <c r="D259" s="94" t="s">
        <v>108</v>
      </c>
      <c r="E259" s="35"/>
      <c r="F259" s="36"/>
      <c r="G259" s="37"/>
      <c r="H259" s="38"/>
      <c r="I259" s="19"/>
      <c r="J259" s="19"/>
      <c r="K259" s="31"/>
      <c r="L259" s="19"/>
      <c r="M259" s="32"/>
      <c r="N259" s="11"/>
      <c r="O259" s="11"/>
      <c r="P259" s="54"/>
      <c r="Q259" s="39"/>
      <c r="R259" s="39"/>
      <c r="U259" s="41"/>
    </row>
    <row r="260" spans="1:21" s="40" customFormat="1">
      <c r="A260" s="33">
        <f>IF(H260&lt;&gt;"",1+MAX($A$5:A259),"")</f>
        <v>199</v>
      </c>
      <c r="B260" s="79"/>
      <c r="C260" s="69"/>
      <c r="D260" s="27" t="s">
        <v>220</v>
      </c>
      <c r="E260" s="35">
        <v>1718</v>
      </c>
      <c r="F260" s="36">
        <v>0.08</v>
      </c>
      <c r="G260" s="37">
        <f>(1+F260)*E260</f>
        <v>1855.44</v>
      </c>
      <c r="H260" s="38" t="s">
        <v>32</v>
      </c>
      <c r="I260" s="19">
        <v>1.3383999999999998</v>
      </c>
      <c r="J260" s="19">
        <f t="shared" ref="J260" si="177">I260*G260</f>
        <v>2483.3208959999997</v>
      </c>
      <c r="K260" s="31">
        <v>3.4000000000000002E-2</v>
      </c>
      <c r="L260" s="19">
        <f t="shared" ref="L260" si="178">$O$207</f>
        <v>45</v>
      </c>
      <c r="M260" s="32">
        <f t="shared" ref="M260" si="179">K260*G260</f>
        <v>63.084960000000009</v>
      </c>
      <c r="N260" s="11">
        <f t="shared" ref="N260" si="180">M260*L260</f>
        <v>2838.8232000000003</v>
      </c>
      <c r="O260" s="11">
        <f t="shared" ref="O260" si="181">N260+J260</f>
        <v>5322.144096</v>
      </c>
      <c r="P260" s="54"/>
      <c r="Q260" s="39"/>
      <c r="R260" s="39"/>
      <c r="U260" s="41"/>
    </row>
    <row r="261" spans="1:21" s="40" customFormat="1">
      <c r="A261" s="33" t="str">
        <f>IF(H261&lt;&gt;"",1+MAX($A$5:A260),"")</f>
        <v/>
      </c>
      <c r="B261" s="79"/>
      <c r="C261" s="69"/>
      <c r="D261" s="27" t="s">
        <v>96</v>
      </c>
      <c r="E261" s="35"/>
      <c r="F261" s="36"/>
      <c r="G261" s="37"/>
      <c r="H261" s="38"/>
      <c r="I261" s="19"/>
      <c r="J261" s="19"/>
      <c r="K261" s="31"/>
      <c r="L261" s="19"/>
      <c r="M261" s="32"/>
      <c r="N261" s="11"/>
      <c r="O261" s="11"/>
      <c r="P261" s="54"/>
      <c r="Q261" s="39"/>
      <c r="R261" s="39"/>
      <c r="U261" s="41"/>
    </row>
    <row r="262" spans="1:21" s="40" customFormat="1">
      <c r="A262" s="33" t="str">
        <f>IF(H262&lt;&gt;"",1+MAX($A$5:A261),"")</f>
        <v/>
      </c>
      <c r="B262" s="79"/>
      <c r="C262" s="69"/>
      <c r="D262" s="94" t="s">
        <v>109</v>
      </c>
      <c r="E262" s="35"/>
      <c r="F262" s="36"/>
      <c r="G262" s="37"/>
      <c r="H262" s="38"/>
      <c r="I262" s="19"/>
      <c r="J262" s="19"/>
      <c r="K262" s="31"/>
      <c r="L262" s="19"/>
      <c r="M262" s="32"/>
      <c r="N262" s="11"/>
      <c r="O262" s="11"/>
      <c r="P262" s="54"/>
      <c r="Q262" s="39"/>
      <c r="R262" s="39"/>
      <c r="U262" s="41"/>
    </row>
    <row r="263" spans="1:21" s="40" customFormat="1">
      <c r="A263" s="33">
        <f>IF(H263&lt;&gt;"",1+MAX($A$5:A262),"")</f>
        <v>200</v>
      </c>
      <c r="B263" s="79"/>
      <c r="C263" s="69"/>
      <c r="D263" s="27" t="s">
        <v>221</v>
      </c>
      <c r="E263" s="35">
        <v>1040</v>
      </c>
      <c r="F263" s="36">
        <v>0.08</v>
      </c>
      <c r="G263" s="37">
        <f>(1+F263)*E263</f>
        <v>1123.2</v>
      </c>
      <c r="H263" s="38" t="s">
        <v>32</v>
      </c>
      <c r="I263" s="19">
        <v>1.3383999999999998</v>
      </c>
      <c r="J263" s="19">
        <f t="shared" ref="J263" si="182">I263*G263</f>
        <v>1503.2908799999998</v>
      </c>
      <c r="K263" s="31">
        <v>3.4000000000000002E-2</v>
      </c>
      <c r="L263" s="19">
        <f t="shared" ref="L263" si="183">$O$207</f>
        <v>45</v>
      </c>
      <c r="M263" s="32">
        <f t="shared" ref="M263" si="184">K263*G263</f>
        <v>38.188800000000008</v>
      </c>
      <c r="N263" s="11">
        <f t="shared" ref="N263" si="185">M263*L263</f>
        <v>1718.4960000000003</v>
      </c>
      <c r="O263" s="11">
        <f t="shared" ref="O263" si="186">N263+J263</f>
        <v>3221.7868800000001</v>
      </c>
      <c r="P263" s="54"/>
      <c r="Q263" s="39"/>
      <c r="R263" s="39"/>
      <c r="U263" s="41"/>
    </row>
    <row r="264" spans="1:21" s="40" customFormat="1">
      <c r="A264" s="33" t="str">
        <f>IF(H264&lt;&gt;"",1+MAX($A$5:A263),"")</f>
        <v/>
      </c>
      <c r="B264" s="79"/>
      <c r="C264" s="69"/>
      <c r="D264" s="27" t="s">
        <v>96</v>
      </c>
      <c r="E264" s="35"/>
      <c r="F264" s="36"/>
      <c r="G264" s="37"/>
      <c r="H264" s="38"/>
      <c r="I264" s="19"/>
      <c r="J264" s="19"/>
      <c r="K264" s="31"/>
      <c r="L264" s="19"/>
      <c r="M264" s="32"/>
      <c r="N264" s="11"/>
      <c r="O264" s="11"/>
      <c r="P264" s="54"/>
      <c r="Q264" s="39"/>
      <c r="R264" s="39"/>
      <c r="U264" s="41"/>
    </row>
    <row r="265" spans="1:21" s="40" customFormat="1">
      <c r="A265" s="33" t="str">
        <f>IF(H265&lt;&gt;"",1+MAX($A$5:A264),"")</f>
        <v/>
      </c>
      <c r="B265" s="79"/>
      <c r="C265" s="69"/>
      <c r="D265" s="75" t="s">
        <v>222</v>
      </c>
      <c r="E265" s="35"/>
      <c r="F265" s="36"/>
      <c r="G265" s="37"/>
      <c r="H265" s="38"/>
      <c r="I265" s="19"/>
      <c r="J265" s="19"/>
      <c r="K265" s="31"/>
      <c r="L265" s="19"/>
      <c r="M265" s="32"/>
      <c r="N265" s="11"/>
      <c r="O265" s="11"/>
      <c r="P265" s="54"/>
      <c r="Q265" s="39"/>
      <c r="R265" s="39"/>
      <c r="U265" s="41"/>
    </row>
    <row r="266" spans="1:21" s="40" customFormat="1">
      <c r="A266" s="33" t="str">
        <f>IF(H266&lt;&gt;"",1+MAX($A$5:A265),"")</f>
        <v/>
      </c>
      <c r="B266" s="79"/>
      <c r="C266" s="69"/>
      <c r="D266" s="94" t="s">
        <v>223</v>
      </c>
      <c r="E266" s="35"/>
      <c r="F266" s="36"/>
      <c r="G266" s="37"/>
      <c r="H266" s="38"/>
      <c r="I266" s="19"/>
      <c r="J266" s="19"/>
      <c r="K266" s="31"/>
      <c r="L266" s="19"/>
      <c r="M266" s="32"/>
      <c r="N266" s="11"/>
      <c r="O266" s="11"/>
      <c r="P266" s="54"/>
      <c r="Q266" s="39"/>
      <c r="R266" s="39"/>
      <c r="U266" s="41"/>
    </row>
    <row r="267" spans="1:21" s="40" customFormat="1">
      <c r="A267" s="33">
        <f>IF(H267&lt;&gt;"",1+MAX($A$5:A266),"")</f>
        <v>201</v>
      </c>
      <c r="B267" s="79"/>
      <c r="C267" s="69"/>
      <c r="D267" s="27" t="s">
        <v>224</v>
      </c>
      <c r="E267" s="35">
        <v>2206</v>
      </c>
      <c r="F267" s="36">
        <v>0.08</v>
      </c>
      <c r="G267" s="37">
        <f>(1+F267)*E267</f>
        <v>2382.48</v>
      </c>
      <c r="H267" s="38" t="s">
        <v>32</v>
      </c>
      <c r="I267" s="19">
        <v>1.3383999999999998</v>
      </c>
      <c r="J267" s="19">
        <f t="shared" ref="J267:J268" si="187">I267*G267</f>
        <v>3188.7112319999997</v>
      </c>
      <c r="K267" s="31">
        <v>3.4000000000000002E-2</v>
      </c>
      <c r="L267" s="19">
        <f t="shared" ref="L267:L268" si="188">$O$207</f>
        <v>45</v>
      </c>
      <c r="M267" s="32">
        <f t="shared" ref="M267:M268" si="189">K267*G267</f>
        <v>81.004320000000007</v>
      </c>
      <c r="N267" s="11">
        <f t="shared" ref="N267:N268" si="190">M267*L267</f>
        <v>3645.1944000000003</v>
      </c>
      <c r="O267" s="11">
        <f t="shared" ref="O267:O268" si="191">N267+J267</f>
        <v>6833.905632</v>
      </c>
      <c r="P267" s="54"/>
      <c r="Q267" s="39"/>
      <c r="R267" s="39"/>
      <c r="U267" s="41"/>
    </row>
    <row r="268" spans="1:21" s="40" customFormat="1">
      <c r="A268" s="33">
        <f>IF(H268&lt;&gt;"",1+MAX($A$5:A267),"")</f>
        <v>202</v>
      </c>
      <c r="B268" s="79"/>
      <c r="C268" s="69"/>
      <c r="D268" s="27" t="s">
        <v>225</v>
      </c>
      <c r="E268" s="35">
        <v>6618</v>
      </c>
      <c r="F268" s="36">
        <v>0</v>
      </c>
      <c r="G268" s="37">
        <f>(1+F268)*E268</f>
        <v>6618</v>
      </c>
      <c r="H268" s="38" t="s">
        <v>3</v>
      </c>
      <c r="I268" s="19">
        <v>0.2868</v>
      </c>
      <c r="J268" s="19">
        <f t="shared" si="187"/>
        <v>1898.0424</v>
      </c>
      <c r="K268" s="31">
        <v>2E-3</v>
      </c>
      <c r="L268" s="19">
        <f t="shared" si="188"/>
        <v>45</v>
      </c>
      <c r="M268" s="32">
        <f t="shared" si="189"/>
        <v>13.236000000000001</v>
      </c>
      <c r="N268" s="11">
        <f t="shared" si="190"/>
        <v>595.62</v>
      </c>
      <c r="O268" s="11">
        <f t="shared" si="191"/>
        <v>2493.6624000000002</v>
      </c>
      <c r="P268" s="54"/>
      <c r="Q268" s="39"/>
      <c r="R268" s="39"/>
      <c r="U268" s="41"/>
    </row>
    <row r="269" spans="1:21" s="40" customFormat="1">
      <c r="A269" s="33" t="str">
        <f>IF(H269&lt;&gt;"",1+MAX($A$5:A268),"")</f>
        <v/>
      </c>
      <c r="B269" s="79"/>
      <c r="C269" s="69"/>
      <c r="D269" s="27" t="s">
        <v>96</v>
      </c>
      <c r="E269" s="35"/>
      <c r="F269" s="36"/>
      <c r="G269" s="37"/>
      <c r="H269" s="38"/>
      <c r="I269" s="19"/>
      <c r="J269" s="19"/>
      <c r="K269" s="31"/>
      <c r="L269" s="19"/>
      <c r="M269" s="32"/>
      <c r="N269" s="11"/>
      <c r="O269" s="11"/>
      <c r="P269" s="54"/>
      <c r="Q269" s="39"/>
      <c r="R269" s="39"/>
      <c r="U269" s="41"/>
    </row>
    <row r="270" spans="1:21" s="40" customFormat="1">
      <c r="A270" s="33" t="str">
        <f>IF(H270&lt;&gt;"",1+MAX($A$5:A269),"")</f>
        <v/>
      </c>
      <c r="B270" s="79"/>
      <c r="C270" s="69"/>
      <c r="D270" s="94" t="s">
        <v>226</v>
      </c>
      <c r="E270" s="35"/>
      <c r="F270" s="36"/>
      <c r="G270" s="37"/>
      <c r="H270" s="38"/>
      <c r="I270" s="19"/>
      <c r="J270" s="19"/>
      <c r="K270" s="31"/>
      <c r="L270" s="19"/>
      <c r="M270" s="32"/>
      <c r="N270" s="11"/>
      <c r="O270" s="11"/>
      <c r="P270" s="54"/>
      <c r="Q270" s="39"/>
      <c r="R270" s="39"/>
      <c r="U270" s="41"/>
    </row>
    <row r="271" spans="1:21" s="40" customFormat="1">
      <c r="A271" s="33">
        <f>IF(H271&lt;&gt;"",1+MAX($A$5:A270),"")</f>
        <v>203</v>
      </c>
      <c r="B271" s="79"/>
      <c r="C271" s="69"/>
      <c r="D271" s="27" t="s">
        <v>224</v>
      </c>
      <c r="E271" s="35">
        <v>96</v>
      </c>
      <c r="F271" s="36">
        <v>0.08</v>
      </c>
      <c r="G271" s="37">
        <f>(1+F271)*E271</f>
        <v>103.68</v>
      </c>
      <c r="H271" s="38" t="s">
        <v>32</v>
      </c>
      <c r="I271" s="19">
        <v>1.3383999999999998</v>
      </c>
      <c r="J271" s="19">
        <f t="shared" ref="J271:J272" si="192">I271*G271</f>
        <v>138.76531199999999</v>
      </c>
      <c r="K271" s="31">
        <v>3.4000000000000002E-2</v>
      </c>
      <c r="L271" s="19">
        <f t="shared" ref="L271:L272" si="193">$O$207</f>
        <v>45</v>
      </c>
      <c r="M271" s="32">
        <f t="shared" ref="M271:M272" si="194">K271*G271</f>
        <v>3.5251200000000007</v>
      </c>
      <c r="N271" s="11">
        <f t="shared" ref="N271:N272" si="195">M271*L271</f>
        <v>158.63040000000004</v>
      </c>
      <c r="O271" s="11">
        <f t="shared" ref="O271:O272" si="196">N271+J271</f>
        <v>297.395712</v>
      </c>
      <c r="P271" s="54"/>
      <c r="Q271" s="39"/>
      <c r="R271" s="39"/>
      <c r="U271" s="41"/>
    </row>
    <row r="272" spans="1:21" s="40" customFormat="1">
      <c r="A272" s="33">
        <f>IF(H272&lt;&gt;"",1+MAX($A$5:A271),"")</f>
        <v>204</v>
      </c>
      <c r="B272" s="79"/>
      <c r="C272" s="69"/>
      <c r="D272" s="27" t="s">
        <v>225</v>
      </c>
      <c r="E272" s="35">
        <v>288</v>
      </c>
      <c r="F272" s="36">
        <v>0</v>
      </c>
      <c r="G272" s="37">
        <f>(1+F272)*E272</f>
        <v>288</v>
      </c>
      <c r="H272" s="38" t="s">
        <v>3</v>
      </c>
      <c r="I272" s="19">
        <v>0.2868</v>
      </c>
      <c r="J272" s="19">
        <f t="shared" si="192"/>
        <v>82.598399999999998</v>
      </c>
      <c r="K272" s="31">
        <v>3.3999999999999998E-3</v>
      </c>
      <c r="L272" s="19">
        <f t="shared" si="193"/>
        <v>45</v>
      </c>
      <c r="M272" s="32">
        <f t="shared" si="194"/>
        <v>0.97919999999999996</v>
      </c>
      <c r="N272" s="11">
        <f t="shared" si="195"/>
        <v>44.064</v>
      </c>
      <c r="O272" s="11">
        <f t="shared" si="196"/>
        <v>126.66239999999999</v>
      </c>
      <c r="P272" s="54"/>
      <c r="Q272" s="39"/>
      <c r="R272" s="39"/>
      <c r="U272" s="41"/>
    </row>
    <row r="273" spans="1:21" s="40" customFormat="1">
      <c r="A273" s="33" t="str">
        <f>IF(H273&lt;&gt;"",1+MAX($A$5:A272),"")</f>
        <v/>
      </c>
      <c r="B273" s="79"/>
      <c r="C273" s="69"/>
      <c r="D273" s="27"/>
      <c r="E273" s="35"/>
      <c r="F273" s="36"/>
      <c r="G273" s="37"/>
      <c r="H273" s="38"/>
      <c r="I273" s="19"/>
      <c r="J273" s="19"/>
      <c r="K273" s="31"/>
      <c r="L273" s="19"/>
      <c r="M273" s="32"/>
      <c r="N273" s="11"/>
      <c r="O273" s="11"/>
      <c r="P273" s="54"/>
      <c r="Q273" s="39"/>
      <c r="R273" s="39"/>
      <c r="U273" s="41"/>
    </row>
    <row r="274" spans="1:21" s="40" customFormat="1">
      <c r="A274" s="33" t="str">
        <f>IF(H274&lt;&gt;"",1+MAX($A$5:A273),"")</f>
        <v/>
      </c>
      <c r="B274" s="79"/>
      <c r="C274" s="69"/>
      <c r="D274" s="75" t="s">
        <v>110</v>
      </c>
      <c r="E274" s="35"/>
      <c r="F274" s="36"/>
      <c r="G274" s="37"/>
      <c r="H274" s="38"/>
      <c r="I274" s="19"/>
      <c r="J274" s="19"/>
      <c r="K274" s="31"/>
      <c r="L274" s="19"/>
      <c r="M274" s="32"/>
      <c r="N274" s="11"/>
      <c r="O274" s="11"/>
      <c r="P274" s="54"/>
      <c r="Q274" s="39"/>
      <c r="R274" s="39"/>
      <c r="U274" s="41"/>
    </row>
    <row r="275" spans="1:21" s="40" customFormat="1">
      <c r="A275" s="33" t="str">
        <f>IF(H275&lt;&gt;"",1+MAX($A$5:A274),"")</f>
        <v/>
      </c>
      <c r="B275" s="79"/>
      <c r="C275" s="69"/>
      <c r="D275" s="94" t="s">
        <v>111</v>
      </c>
      <c r="E275" s="35"/>
      <c r="F275" s="36"/>
      <c r="G275" s="37"/>
      <c r="H275" s="38"/>
      <c r="I275" s="19"/>
      <c r="J275" s="19"/>
      <c r="K275" s="31"/>
      <c r="L275" s="19"/>
      <c r="M275" s="32"/>
      <c r="N275" s="11"/>
      <c r="O275" s="11"/>
      <c r="P275" s="54"/>
      <c r="Q275" s="39"/>
      <c r="R275" s="39"/>
      <c r="U275" s="41"/>
    </row>
    <row r="276" spans="1:21" s="40" customFormat="1">
      <c r="A276" s="33">
        <f>IF(H276&lt;&gt;"",1+MAX($A$5:A275),"")</f>
        <v>205</v>
      </c>
      <c r="B276" s="79"/>
      <c r="C276" s="69"/>
      <c r="D276" s="27" t="s">
        <v>227</v>
      </c>
      <c r="E276" s="35">
        <v>172</v>
      </c>
      <c r="F276" s="36">
        <v>0.08</v>
      </c>
      <c r="G276" s="37">
        <f>(1+F276)*E276</f>
        <v>185.76000000000002</v>
      </c>
      <c r="H276" s="38" t="s">
        <v>32</v>
      </c>
      <c r="I276" s="19">
        <v>7.5332799999999995</v>
      </c>
      <c r="J276" s="19">
        <f t="shared" ref="J276:J277" si="197">I276*G276</f>
        <v>1399.3820928</v>
      </c>
      <c r="K276" s="31">
        <v>8.8999999999999996E-2</v>
      </c>
      <c r="L276" s="19">
        <f t="shared" ref="L276:L277" si="198">$O$207</f>
        <v>45</v>
      </c>
      <c r="M276" s="32">
        <f t="shared" ref="M276:M277" si="199">K276*G276</f>
        <v>16.532640000000001</v>
      </c>
      <c r="N276" s="11">
        <f t="shared" ref="N276:N277" si="200">M276*L276</f>
        <v>743.96879999999999</v>
      </c>
      <c r="O276" s="11">
        <f t="shared" ref="O276:O277" si="201">N276+J276</f>
        <v>2143.3508928000001</v>
      </c>
      <c r="P276" s="54"/>
      <c r="Q276" s="39"/>
      <c r="R276" s="39"/>
      <c r="U276" s="41"/>
    </row>
    <row r="277" spans="1:21" s="40" customFormat="1">
      <c r="A277" s="33">
        <f>IF(H277&lt;&gt;"",1+MAX($A$5:A276),"")</f>
        <v>206</v>
      </c>
      <c r="B277" s="79"/>
      <c r="C277" s="69"/>
      <c r="D277" s="27" t="s">
        <v>228</v>
      </c>
      <c r="E277" s="35">
        <v>346</v>
      </c>
      <c r="F277" s="36">
        <v>0.08</v>
      </c>
      <c r="G277" s="37">
        <f>(1+F277)*E277</f>
        <v>373.68</v>
      </c>
      <c r="H277" s="38" t="s">
        <v>32</v>
      </c>
      <c r="I277" s="19">
        <v>6.2139999999999995</v>
      </c>
      <c r="J277" s="19">
        <f t="shared" si="197"/>
        <v>2322.0475200000001</v>
      </c>
      <c r="K277" s="31">
        <v>0.06</v>
      </c>
      <c r="L277" s="19">
        <f t="shared" si="198"/>
        <v>45</v>
      </c>
      <c r="M277" s="32">
        <f t="shared" si="199"/>
        <v>22.4208</v>
      </c>
      <c r="N277" s="11">
        <f t="shared" si="200"/>
        <v>1008.936</v>
      </c>
      <c r="O277" s="11">
        <f t="shared" si="201"/>
        <v>3330.9835200000002</v>
      </c>
      <c r="P277" s="54"/>
      <c r="Q277" s="39"/>
      <c r="R277" s="39"/>
      <c r="U277" s="41"/>
    </row>
    <row r="278" spans="1:21" s="40" customFormat="1">
      <c r="A278" s="33" t="str">
        <f>IF(H278&lt;&gt;"",1+MAX($A$5:A277),"")</f>
        <v/>
      </c>
      <c r="B278" s="79"/>
      <c r="C278" s="69"/>
      <c r="D278" s="27" t="s">
        <v>96</v>
      </c>
      <c r="E278" s="35"/>
      <c r="F278" s="36"/>
      <c r="G278" s="37"/>
      <c r="H278" s="38"/>
      <c r="I278" s="19"/>
      <c r="J278" s="19"/>
      <c r="K278" s="31"/>
      <c r="L278" s="19"/>
      <c r="M278" s="32"/>
      <c r="N278" s="11"/>
      <c r="O278" s="11"/>
      <c r="P278" s="54"/>
      <c r="Q278" s="39"/>
      <c r="R278" s="39"/>
      <c r="U278" s="41"/>
    </row>
    <row r="279" spans="1:21" s="40" customFormat="1">
      <c r="A279" s="33" t="str">
        <f>IF(H279&lt;&gt;"",1+MAX($A$5:A278),"")</f>
        <v/>
      </c>
      <c r="B279" s="79"/>
      <c r="C279" s="69"/>
      <c r="D279" s="75" t="s">
        <v>229</v>
      </c>
      <c r="E279" s="35"/>
      <c r="F279" s="36"/>
      <c r="G279" s="37"/>
      <c r="H279" s="38"/>
      <c r="I279" s="19"/>
      <c r="J279" s="19"/>
      <c r="K279" s="31"/>
      <c r="L279" s="19"/>
      <c r="M279" s="32"/>
      <c r="N279" s="11"/>
      <c r="O279" s="11"/>
      <c r="P279" s="54"/>
      <c r="Q279" s="39"/>
      <c r="R279" s="39"/>
      <c r="U279" s="41"/>
    </row>
    <row r="280" spans="1:21" s="40" customFormat="1">
      <c r="A280" s="33" t="str">
        <f>IF(H280&lt;&gt;"",1+MAX($A$5:A279),"")</f>
        <v/>
      </c>
      <c r="B280" s="79"/>
      <c r="C280" s="69"/>
      <c r="D280" s="94" t="s">
        <v>187</v>
      </c>
      <c r="E280" s="35"/>
      <c r="F280" s="36"/>
      <c r="G280" s="37"/>
      <c r="H280" s="38"/>
      <c r="I280" s="19"/>
      <c r="J280" s="19"/>
      <c r="K280" s="31"/>
      <c r="L280" s="19"/>
      <c r="M280" s="32"/>
      <c r="N280" s="11"/>
      <c r="O280" s="11"/>
      <c r="P280" s="54"/>
      <c r="Q280" s="39"/>
      <c r="R280" s="39"/>
      <c r="U280" s="41"/>
    </row>
    <row r="281" spans="1:21" s="40" customFormat="1">
      <c r="A281" s="33">
        <f>IF(H281&lt;&gt;"",1+MAX($A$5:A280),"")</f>
        <v>207</v>
      </c>
      <c r="B281" s="79"/>
      <c r="C281" s="69"/>
      <c r="D281" s="27" t="s">
        <v>230</v>
      </c>
      <c r="E281" s="35">
        <v>13.54</v>
      </c>
      <c r="F281" s="36">
        <v>0.1</v>
      </c>
      <c r="G281" s="37">
        <f>(1+F281)*E281</f>
        <v>14.894</v>
      </c>
      <c r="H281" s="38" t="s">
        <v>4</v>
      </c>
      <c r="I281" s="19">
        <v>42.542000000000002</v>
      </c>
      <c r="J281" s="19">
        <f t="shared" ref="J281:J283" si="202">I281*G281</f>
        <v>633.62054799999999</v>
      </c>
      <c r="K281" s="31">
        <v>0.24</v>
      </c>
      <c r="L281" s="19">
        <f t="shared" ref="L281:L283" si="203">$O$207</f>
        <v>45</v>
      </c>
      <c r="M281" s="32">
        <f t="shared" ref="M281:M283" si="204">K281*G281</f>
        <v>3.57456</v>
      </c>
      <c r="N281" s="11">
        <f t="shared" ref="N281:N283" si="205">M281*L281</f>
        <v>160.8552</v>
      </c>
      <c r="O281" s="11">
        <f t="shared" ref="O281:O283" si="206">N281+J281</f>
        <v>794.47574799999995</v>
      </c>
      <c r="P281" s="54"/>
      <c r="Q281" s="39"/>
      <c r="R281" s="39"/>
      <c r="U281" s="41"/>
    </row>
    <row r="282" spans="1:21" s="40" customFormat="1">
      <c r="A282" s="33">
        <f>IF(H282&lt;&gt;"",1+MAX($A$5:A281),"")</f>
        <v>208</v>
      </c>
      <c r="B282" s="79"/>
      <c r="C282" s="69"/>
      <c r="D282" s="27" t="s">
        <v>231</v>
      </c>
      <c r="E282" s="35">
        <v>13.54</v>
      </c>
      <c r="F282" s="36">
        <v>0.1</v>
      </c>
      <c r="G282" s="37">
        <f>(1+F282)*E282</f>
        <v>14.894</v>
      </c>
      <c r="H282" s="38" t="s">
        <v>4</v>
      </c>
      <c r="I282" s="19">
        <v>36.136799999999994</v>
      </c>
      <c r="J282" s="19">
        <f t="shared" si="202"/>
        <v>538.22149919999993</v>
      </c>
      <c r="K282" s="31">
        <v>0.24</v>
      </c>
      <c r="L282" s="19">
        <f t="shared" si="203"/>
        <v>45</v>
      </c>
      <c r="M282" s="32">
        <f t="shared" si="204"/>
        <v>3.57456</v>
      </c>
      <c r="N282" s="11">
        <f t="shared" si="205"/>
        <v>160.8552</v>
      </c>
      <c r="O282" s="11">
        <f t="shared" si="206"/>
        <v>699.07669919999989</v>
      </c>
      <c r="P282" s="54"/>
      <c r="Q282" s="39"/>
      <c r="R282" s="39"/>
      <c r="U282" s="41"/>
    </row>
    <row r="283" spans="1:21" s="40" customFormat="1">
      <c r="A283" s="33">
        <f>IF(H283&lt;&gt;"",1+MAX($A$5:A282),"")</f>
        <v>209</v>
      </c>
      <c r="B283" s="79"/>
      <c r="C283" s="69"/>
      <c r="D283" s="27" t="s">
        <v>232</v>
      </c>
      <c r="E283" s="35">
        <v>27.45</v>
      </c>
      <c r="F283" s="36">
        <v>0.1</v>
      </c>
      <c r="G283" s="37">
        <f>(1+F283)*E283</f>
        <v>30.195</v>
      </c>
      <c r="H283" s="38" t="s">
        <v>4</v>
      </c>
      <c r="I283" s="19">
        <v>48.947200000000002</v>
      </c>
      <c r="J283" s="19">
        <f t="shared" si="202"/>
        <v>1477.9607040000001</v>
      </c>
      <c r="K283" s="31">
        <v>0.24</v>
      </c>
      <c r="L283" s="19">
        <f t="shared" si="203"/>
        <v>45</v>
      </c>
      <c r="M283" s="32">
        <f t="shared" si="204"/>
        <v>7.2467999999999995</v>
      </c>
      <c r="N283" s="11">
        <f t="shared" si="205"/>
        <v>326.10599999999999</v>
      </c>
      <c r="O283" s="11">
        <f t="shared" si="206"/>
        <v>1804.0667040000001</v>
      </c>
      <c r="P283" s="54"/>
      <c r="Q283" s="39"/>
      <c r="R283" s="39"/>
      <c r="U283" s="41"/>
    </row>
    <row r="284" spans="1:21" s="40" customFormat="1">
      <c r="A284" s="33" t="str">
        <f>IF(H284&lt;&gt;"",1+MAX($A$5:A283),"")</f>
        <v/>
      </c>
      <c r="B284" s="79"/>
      <c r="C284" s="69"/>
      <c r="D284" s="27"/>
      <c r="E284" s="35"/>
      <c r="F284" s="36"/>
      <c r="G284" s="37"/>
      <c r="H284" s="38"/>
      <c r="I284" s="19"/>
      <c r="J284" s="19"/>
      <c r="K284" s="31"/>
      <c r="L284" s="19"/>
      <c r="M284" s="32"/>
      <c r="N284" s="11"/>
      <c r="O284" s="11"/>
      <c r="P284" s="54"/>
      <c r="Q284" s="39"/>
      <c r="R284" s="39"/>
      <c r="U284" s="41"/>
    </row>
    <row r="285" spans="1:21" s="40" customFormat="1">
      <c r="A285" s="33" t="str">
        <f>IF(H285&lt;&gt;"",1+MAX($A$5:A284),"")</f>
        <v/>
      </c>
      <c r="B285" s="79"/>
      <c r="C285" s="69"/>
      <c r="D285" s="75" t="s">
        <v>235</v>
      </c>
      <c r="E285" s="35"/>
      <c r="F285" s="36"/>
      <c r="G285" s="37"/>
      <c r="H285" s="38"/>
      <c r="I285" s="19"/>
      <c r="J285" s="19"/>
      <c r="K285" s="31"/>
      <c r="L285" s="19"/>
      <c r="M285" s="32"/>
      <c r="N285" s="11"/>
      <c r="O285" s="11"/>
      <c r="P285" s="54"/>
      <c r="Q285" s="39"/>
      <c r="R285" s="39"/>
      <c r="U285" s="41"/>
    </row>
    <row r="286" spans="1:21" s="40" customFormat="1">
      <c r="A286" s="33">
        <f>IF(H286&lt;&gt;"",1+MAX($A$5:A285),"")</f>
        <v>210</v>
      </c>
      <c r="B286" s="79"/>
      <c r="C286" s="69"/>
      <c r="D286" s="27" t="s">
        <v>628</v>
      </c>
      <c r="E286" s="35">
        <v>6.47</v>
      </c>
      <c r="F286" s="36">
        <v>0.1</v>
      </c>
      <c r="G286" s="37">
        <f t="shared" ref="G286:G292" si="207">(1+F286)*E286</f>
        <v>7.117</v>
      </c>
      <c r="H286" s="38" t="s">
        <v>4</v>
      </c>
      <c r="I286" s="19">
        <v>272.45999999999998</v>
      </c>
      <c r="J286" s="19">
        <f t="shared" ref="J286:J292" si="208">I286*G286</f>
        <v>1939.09782</v>
      </c>
      <c r="K286" s="31">
        <v>0.44</v>
      </c>
      <c r="L286" s="19">
        <f t="shared" ref="L286:L292" si="209">$O$207</f>
        <v>45</v>
      </c>
      <c r="M286" s="32">
        <f t="shared" ref="M286:M292" si="210">K286*G286</f>
        <v>3.1314799999999998</v>
      </c>
      <c r="N286" s="11">
        <f t="shared" ref="N286:N292" si="211">M286*L286</f>
        <v>140.91659999999999</v>
      </c>
      <c r="O286" s="11">
        <f t="shared" ref="O286:O292" si="212">N286+J286</f>
        <v>2080.01442</v>
      </c>
      <c r="P286" s="54"/>
      <c r="Q286" s="39"/>
      <c r="R286" s="39"/>
      <c r="U286" s="41"/>
    </row>
    <row r="287" spans="1:21" s="40" customFormat="1">
      <c r="A287" s="33">
        <f>IF(H287&lt;&gt;"",1+MAX($A$5:A286),"")</f>
        <v>211</v>
      </c>
      <c r="B287" s="79"/>
      <c r="C287" s="69"/>
      <c r="D287" s="27" t="s">
        <v>629</v>
      </c>
      <c r="E287" s="35">
        <v>26.08</v>
      </c>
      <c r="F287" s="36">
        <v>0.1</v>
      </c>
      <c r="G287" s="37">
        <f t="shared" si="207"/>
        <v>28.687999999999999</v>
      </c>
      <c r="H287" s="38" t="s">
        <v>4</v>
      </c>
      <c r="I287" s="19">
        <v>272.45999999999998</v>
      </c>
      <c r="J287" s="19">
        <f t="shared" si="208"/>
        <v>7816.3324799999991</v>
      </c>
      <c r="K287" s="31">
        <v>0.44</v>
      </c>
      <c r="L287" s="19">
        <f t="shared" si="209"/>
        <v>45</v>
      </c>
      <c r="M287" s="32">
        <f t="shared" si="210"/>
        <v>12.622719999999999</v>
      </c>
      <c r="N287" s="11">
        <f t="shared" si="211"/>
        <v>568.02239999999995</v>
      </c>
      <c r="O287" s="11">
        <f t="shared" si="212"/>
        <v>8384.354879999999</v>
      </c>
      <c r="P287" s="54"/>
      <c r="Q287" s="39"/>
      <c r="R287" s="39"/>
      <c r="U287" s="41"/>
    </row>
    <row r="288" spans="1:21" s="40" customFormat="1">
      <c r="A288" s="33">
        <f>IF(H288&lt;&gt;"",1+MAX($A$5:A287),"")</f>
        <v>212</v>
      </c>
      <c r="B288" s="79"/>
      <c r="C288" s="69"/>
      <c r="D288" s="27" t="s">
        <v>630</v>
      </c>
      <c r="E288" s="35">
        <v>80.239999999999995</v>
      </c>
      <c r="F288" s="36">
        <v>0.1</v>
      </c>
      <c r="G288" s="37">
        <f t="shared" si="207"/>
        <v>88.263999999999996</v>
      </c>
      <c r="H288" s="38" t="s">
        <v>4</v>
      </c>
      <c r="I288" s="19">
        <v>363.28</v>
      </c>
      <c r="J288" s="19">
        <f t="shared" si="208"/>
        <v>32064.545919999997</v>
      </c>
      <c r="K288" s="31">
        <v>0.5</v>
      </c>
      <c r="L288" s="19">
        <f t="shared" si="209"/>
        <v>45</v>
      </c>
      <c r="M288" s="32">
        <f t="shared" si="210"/>
        <v>44.131999999999998</v>
      </c>
      <c r="N288" s="11">
        <f t="shared" si="211"/>
        <v>1985.9399999999998</v>
      </c>
      <c r="O288" s="11">
        <f t="shared" si="212"/>
        <v>34050.485919999999</v>
      </c>
      <c r="P288" s="54"/>
      <c r="Q288" s="39"/>
      <c r="R288" s="39"/>
      <c r="U288" s="41"/>
    </row>
    <row r="289" spans="1:21" s="40" customFormat="1">
      <c r="A289" s="33">
        <f>IF(H289&lt;&gt;"",1+MAX($A$5:A288),"")</f>
        <v>213</v>
      </c>
      <c r="B289" s="79"/>
      <c r="C289" s="69"/>
      <c r="D289" s="27" t="s">
        <v>631</v>
      </c>
      <c r="E289" s="35">
        <v>6.1</v>
      </c>
      <c r="F289" s="36">
        <v>0.1</v>
      </c>
      <c r="G289" s="37">
        <f t="shared" si="207"/>
        <v>6.71</v>
      </c>
      <c r="H289" s="38" t="s">
        <v>4</v>
      </c>
      <c r="I289" s="19">
        <v>286.8</v>
      </c>
      <c r="J289" s="19">
        <f t="shared" si="208"/>
        <v>1924.4280000000001</v>
      </c>
      <c r="K289" s="31">
        <v>0.4</v>
      </c>
      <c r="L289" s="19">
        <f t="shared" si="209"/>
        <v>45</v>
      </c>
      <c r="M289" s="32">
        <f t="shared" si="210"/>
        <v>2.6840000000000002</v>
      </c>
      <c r="N289" s="11">
        <f t="shared" si="211"/>
        <v>120.78</v>
      </c>
      <c r="O289" s="11">
        <f t="shared" si="212"/>
        <v>2045.2080000000001</v>
      </c>
      <c r="P289" s="54"/>
      <c r="Q289" s="39"/>
      <c r="R289" s="39"/>
      <c r="U289" s="41"/>
    </row>
    <row r="290" spans="1:21" s="40" customFormat="1">
      <c r="A290" s="33">
        <f>IF(H290&lt;&gt;"",1+MAX($A$5:A289),"")</f>
        <v>214</v>
      </c>
      <c r="B290" s="79"/>
      <c r="C290" s="69"/>
      <c r="D290" s="27" t="s">
        <v>632</v>
      </c>
      <c r="E290" s="35">
        <v>6.1</v>
      </c>
      <c r="F290" s="36">
        <v>0.1</v>
      </c>
      <c r="G290" s="37">
        <f t="shared" si="207"/>
        <v>6.71</v>
      </c>
      <c r="H290" s="38" t="s">
        <v>4</v>
      </c>
      <c r="I290" s="19">
        <v>382.4</v>
      </c>
      <c r="J290" s="19">
        <f t="shared" si="208"/>
        <v>2565.904</v>
      </c>
      <c r="K290" s="31">
        <v>0.4</v>
      </c>
      <c r="L290" s="19">
        <f t="shared" si="209"/>
        <v>45</v>
      </c>
      <c r="M290" s="32">
        <f t="shared" si="210"/>
        <v>2.6840000000000002</v>
      </c>
      <c r="N290" s="11">
        <f t="shared" si="211"/>
        <v>120.78</v>
      </c>
      <c r="O290" s="11">
        <f t="shared" si="212"/>
        <v>2686.6840000000002</v>
      </c>
      <c r="P290" s="54"/>
      <c r="Q290" s="39"/>
      <c r="R290" s="39"/>
      <c r="U290" s="41"/>
    </row>
    <row r="291" spans="1:21" s="40" customFormat="1">
      <c r="A291" s="33">
        <f>IF(H291&lt;&gt;"",1+MAX($A$5:A290),"")</f>
        <v>215</v>
      </c>
      <c r="B291" s="79"/>
      <c r="C291" s="69"/>
      <c r="D291" s="27" t="s">
        <v>633</v>
      </c>
      <c r="E291" s="35">
        <v>23.7</v>
      </c>
      <c r="F291" s="36">
        <v>0.1</v>
      </c>
      <c r="G291" s="37">
        <f t="shared" si="207"/>
        <v>26.07</v>
      </c>
      <c r="H291" s="38" t="s">
        <v>4</v>
      </c>
      <c r="I291" s="19">
        <v>334.59999999999997</v>
      </c>
      <c r="J291" s="19">
        <f t="shared" si="208"/>
        <v>8723.021999999999</v>
      </c>
      <c r="K291" s="31">
        <v>0.4</v>
      </c>
      <c r="L291" s="19">
        <f t="shared" si="209"/>
        <v>45</v>
      </c>
      <c r="M291" s="32">
        <f t="shared" si="210"/>
        <v>10.428000000000001</v>
      </c>
      <c r="N291" s="11">
        <f t="shared" si="211"/>
        <v>469.26000000000005</v>
      </c>
      <c r="O291" s="11">
        <f t="shared" si="212"/>
        <v>9192.2819999999992</v>
      </c>
      <c r="P291" s="54"/>
      <c r="Q291" s="39"/>
      <c r="R291" s="39"/>
      <c r="U291" s="41"/>
    </row>
    <row r="292" spans="1:21" s="40" customFormat="1">
      <c r="A292" s="33">
        <f>IF(H292&lt;&gt;"",1+MAX($A$5:A291),"")</f>
        <v>216</v>
      </c>
      <c r="B292" s="79"/>
      <c r="C292" s="69"/>
      <c r="D292" s="27" t="s">
        <v>233</v>
      </c>
      <c r="E292" s="35">
        <v>10.039999999999999</v>
      </c>
      <c r="F292" s="36">
        <v>0.1</v>
      </c>
      <c r="G292" s="37">
        <f t="shared" si="207"/>
        <v>11.044</v>
      </c>
      <c r="H292" s="38" t="s">
        <v>4</v>
      </c>
      <c r="I292" s="19">
        <v>334.59999999999997</v>
      </c>
      <c r="J292" s="19">
        <f t="shared" si="208"/>
        <v>3695.3223999999996</v>
      </c>
      <c r="K292" s="31">
        <v>0.4</v>
      </c>
      <c r="L292" s="19">
        <f t="shared" si="209"/>
        <v>45</v>
      </c>
      <c r="M292" s="32">
        <f t="shared" si="210"/>
        <v>4.4176000000000002</v>
      </c>
      <c r="N292" s="11">
        <f t="shared" si="211"/>
        <v>198.792</v>
      </c>
      <c r="O292" s="11">
        <f t="shared" si="212"/>
        <v>3894.1143999999995</v>
      </c>
      <c r="P292" s="54"/>
      <c r="Q292" s="39"/>
      <c r="R292" s="39"/>
      <c r="U292" s="41"/>
    </row>
    <row r="293" spans="1:21" s="40" customFormat="1">
      <c r="A293" s="33" t="str">
        <f>IF(H293&lt;&gt;"",1+MAX($A$5:A292),"")</f>
        <v/>
      </c>
      <c r="B293" s="79"/>
      <c r="C293" s="69"/>
      <c r="D293" s="27" t="s">
        <v>96</v>
      </c>
      <c r="E293" s="35"/>
      <c r="F293" s="36"/>
      <c r="G293" s="37"/>
      <c r="H293" s="38"/>
      <c r="I293" s="19"/>
      <c r="J293" s="19"/>
      <c r="K293" s="31"/>
      <c r="L293" s="19"/>
      <c r="M293" s="32"/>
      <c r="N293" s="11"/>
      <c r="O293" s="11"/>
      <c r="P293" s="54"/>
      <c r="Q293" s="39"/>
      <c r="R293" s="39"/>
      <c r="U293" s="41"/>
    </row>
    <row r="294" spans="1:21" s="40" customFormat="1">
      <c r="A294" s="33" t="str">
        <f>IF(H294&lt;&gt;"",1+MAX($A$5:A293),"")</f>
        <v/>
      </c>
      <c r="B294" s="79"/>
      <c r="C294" s="69"/>
      <c r="D294" s="75" t="s">
        <v>234</v>
      </c>
      <c r="E294" s="35"/>
      <c r="F294" s="36"/>
      <c r="G294" s="37"/>
      <c r="H294" s="38"/>
      <c r="I294" s="19"/>
      <c r="J294" s="19"/>
      <c r="K294" s="31"/>
      <c r="L294" s="19"/>
      <c r="M294" s="32"/>
      <c r="N294" s="11"/>
      <c r="O294" s="11"/>
      <c r="P294" s="54"/>
      <c r="Q294" s="39"/>
      <c r="R294" s="39"/>
      <c r="U294" s="41"/>
    </row>
    <row r="295" spans="1:21" s="40" customFormat="1" ht="16.8" customHeight="1">
      <c r="A295" s="33">
        <f>IF(H295&lt;&gt;"",1+MAX($A$5:A294),"")</f>
        <v>217</v>
      </c>
      <c r="B295" s="79"/>
      <c r="C295" s="69"/>
      <c r="D295" s="27" t="s">
        <v>112</v>
      </c>
      <c r="E295" s="35">
        <v>86.7</v>
      </c>
      <c r="F295" s="36">
        <v>0.1</v>
      </c>
      <c r="G295" s="37">
        <f>(1+F295)*E295</f>
        <v>95.37</v>
      </c>
      <c r="H295" s="38" t="s">
        <v>4</v>
      </c>
      <c r="I295" s="19">
        <v>3.0592000000000001</v>
      </c>
      <c r="J295" s="19">
        <f t="shared" ref="J295" si="213">I295*G295</f>
        <v>291.75590400000004</v>
      </c>
      <c r="K295" s="31">
        <v>0.03</v>
      </c>
      <c r="L295" s="19">
        <f t="shared" ref="L295" si="214">$O$207</f>
        <v>45</v>
      </c>
      <c r="M295" s="32">
        <f t="shared" ref="M295" si="215">K295*G295</f>
        <v>2.8611</v>
      </c>
      <c r="N295" s="11">
        <f t="shared" ref="N295" si="216">M295*L295</f>
        <v>128.74950000000001</v>
      </c>
      <c r="O295" s="11">
        <f t="shared" ref="O295" si="217">N295+J295</f>
        <v>420.50540400000006</v>
      </c>
      <c r="P295" s="54"/>
      <c r="Q295" s="39"/>
      <c r="R295" s="39"/>
      <c r="U295" s="41"/>
    </row>
    <row r="296" spans="1:21" s="40" customFormat="1">
      <c r="A296" s="33" t="str">
        <f>IF(H296&lt;&gt;"",1+MAX($A$5:A295),"")</f>
        <v/>
      </c>
      <c r="B296" s="79"/>
      <c r="C296" s="69"/>
      <c r="D296" s="27"/>
      <c r="E296" s="35"/>
      <c r="F296" s="36"/>
      <c r="G296" s="37"/>
      <c r="H296" s="38"/>
      <c r="I296" s="19"/>
      <c r="J296" s="19"/>
      <c r="K296" s="31"/>
      <c r="L296" s="19"/>
      <c r="M296" s="32"/>
      <c r="N296" s="11"/>
      <c r="O296" s="11"/>
      <c r="P296" s="54"/>
      <c r="Q296" s="39"/>
      <c r="R296" s="39"/>
      <c r="U296" s="41"/>
    </row>
    <row r="297" spans="1:21" s="107" customFormat="1" ht="18">
      <c r="A297" s="98" t="str">
        <f>IF(H297&lt;&gt;"",1+MAX($A$5:A297),"")</f>
        <v/>
      </c>
      <c r="B297" s="99"/>
      <c r="C297" s="99"/>
      <c r="D297" s="100" t="s">
        <v>36</v>
      </c>
      <c r="E297" s="101"/>
      <c r="F297" s="102"/>
      <c r="G297" s="103"/>
      <c r="H297" s="102"/>
      <c r="I297" s="102"/>
      <c r="J297" s="102"/>
      <c r="K297" s="102"/>
      <c r="L297" s="102"/>
      <c r="M297" s="102"/>
      <c r="N297" s="104"/>
      <c r="O297" s="102"/>
      <c r="P297" s="105">
        <f>SUM(O300:O325)</f>
        <v>40154.920753199993</v>
      </c>
      <c r="Q297" s="39"/>
      <c r="R297" s="106"/>
      <c r="U297" s="108"/>
    </row>
    <row r="298" spans="1:21" s="3" customFormat="1">
      <c r="A298" s="33" t="str">
        <f>IF(H298&lt;&gt;"",1+MAX($A$5:A297),"")</f>
        <v/>
      </c>
      <c r="B298" s="62"/>
      <c r="C298" s="68"/>
      <c r="D298" s="63"/>
      <c r="E298" s="15"/>
      <c r="F298" s="16"/>
      <c r="G298" s="21"/>
      <c r="H298" s="17"/>
      <c r="I298" s="17"/>
      <c r="J298" s="17"/>
      <c r="K298" s="17"/>
      <c r="L298" s="17"/>
      <c r="M298" s="17"/>
      <c r="N298" s="82" t="s">
        <v>20</v>
      </c>
      <c r="O298" s="29">
        <v>40</v>
      </c>
      <c r="P298" s="54"/>
      <c r="Q298" s="39"/>
      <c r="R298" s="2"/>
      <c r="U298" s="14"/>
    </row>
    <row r="299" spans="1:21" s="40" customFormat="1" ht="16.8" customHeight="1">
      <c r="A299" s="33" t="str">
        <f>IF(H299&lt;&gt;"",1+MAX($A$5:A298),"")</f>
        <v/>
      </c>
      <c r="B299" s="79"/>
      <c r="C299" s="69"/>
      <c r="D299" s="113" t="s">
        <v>236</v>
      </c>
      <c r="E299" s="35"/>
      <c r="F299" s="36"/>
      <c r="G299" s="37"/>
      <c r="H299" s="38"/>
      <c r="I299" s="19"/>
      <c r="J299" s="19"/>
      <c r="K299" s="31"/>
      <c r="L299" s="19"/>
      <c r="M299" s="32"/>
      <c r="N299" s="11"/>
      <c r="O299" s="11"/>
      <c r="P299" s="54"/>
      <c r="Q299" s="39"/>
      <c r="R299" s="39"/>
      <c r="U299" s="41"/>
    </row>
    <row r="300" spans="1:21" s="40" customFormat="1" ht="16.8" customHeight="1">
      <c r="A300" s="33" t="str">
        <f>IF(H300&lt;&gt;"",1+MAX($A$5:A299),"")</f>
        <v/>
      </c>
      <c r="B300" s="79"/>
      <c r="C300" s="69"/>
      <c r="D300" s="94" t="s">
        <v>237</v>
      </c>
      <c r="E300" s="35"/>
      <c r="F300" s="36"/>
      <c r="G300" s="37"/>
      <c r="H300" s="38"/>
      <c r="I300" s="19"/>
      <c r="J300" s="19"/>
      <c r="K300" s="31"/>
      <c r="L300" s="19"/>
      <c r="M300" s="32"/>
      <c r="N300" s="11"/>
      <c r="O300" s="11"/>
      <c r="P300" s="54"/>
      <c r="Q300" s="39"/>
      <c r="R300" s="39"/>
      <c r="U300" s="41"/>
    </row>
    <row r="301" spans="1:21" s="40" customFormat="1" ht="16.8" customHeight="1">
      <c r="A301" s="33">
        <f>IF(H301&lt;&gt;"",1+MAX($A$5:A300),"")</f>
        <v>218</v>
      </c>
      <c r="B301" s="79"/>
      <c r="C301" s="69"/>
      <c r="D301" s="27" t="s">
        <v>238</v>
      </c>
      <c r="E301" s="35">
        <f>2575+354</f>
        <v>2929</v>
      </c>
      <c r="F301" s="36">
        <v>0.1</v>
      </c>
      <c r="G301" s="37">
        <f t="shared" ref="G301:G309" si="218">(1+F301)*E301</f>
        <v>3221.9</v>
      </c>
      <c r="H301" s="38" t="s">
        <v>32</v>
      </c>
      <c r="I301" s="19">
        <v>4.1107999999999993</v>
      </c>
      <c r="J301" s="19">
        <f t="shared" ref="J301" si="219">I301*G301</f>
        <v>13244.586519999999</v>
      </c>
      <c r="K301" s="31">
        <v>0.03</v>
      </c>
      <c r="L301" s="19">
        <f>$O$298</f>
        <v>40</v>
      </c>
      <c r="M301" s="32">
        <f t="shared" ref="M301" si="220">K301*G301</f>
        <v>96.656999999999996</v>
      </c>
      <c r="N301" s="11">
        <f t="shared" ref="N301" si="221">M301*L301</f>
        <v>3866.2799999999997</v>
      </c>
      <c r="O301" s="11">
        <f t="shared" ref="O301" si="222">N301+J301</f>
        <v>17110.86652</v>
      </c>
      <c r="P301" s="54"/>
      <c r="Q301" s="39"/>
      <c r="R301" s="39"/>
      <c r="U301" s="41"/>
    </row>
    <row r="302" spans="1:21" s="40" customFormat="1" ht="16.8" customHeight="1">
      <c r="A302" s="33">
        <f>IF(H302&lt;&gt;"",1+MAX($A$5:A301),"")</f>
        <v>219</v>
      </c>
      <c r="B302" s="79"/>
      <c r="C302" s="69"/>
      <c r="D302" s="27" t="s">
        <v>239</v>
      </c>
      <c r="E302" s="35">
        <f>2575+354</f>
        <v>2929</v>
      </c>
      <c r="F302" s="36">
        <v>0.1</v>
      </c>
      <c r="G302" s="37">
        <f t="shared" si="218"/>
        <v>3221.9</v>
      </c>
      <c r="H302" s="38" t="s">
        <v>32</v>
      </c>
      <c r="I302" s="19">
        <v>0.51624000000000003</v>
      </c>
      <c r="J302" s="19">
        <f t="shared" ref="J302:J309" si="223">I302*G302</f>
        <v>1663.2736560000001</v>
      </c>
      <c r="K302" s="31">
        <v>8.8999999999999999E-3</v>
      </c>
      <c r="L302" s="19">
        <f t="shared" ref="L302:L309" si="224">$O$298</f>
        <v>40</v>
      </c>
      <c r="M302" s="32">
        <f t="shared" ref="M302:M309" si="225">K302*G302</f>
        <v>28.674910000000001</v>
      </c>
      <c r="N302" s="11">
        <f t="shared" ref="N302:N309" si="226">M302*L302</f>
        <v>1146.9964</v>
      </c>
      <c r="O302" s="11">
        <f t="shared" ref="O302:O309" si="227">N302+J302</f>
        <v>2810.2700560000003</v>
      </c>
      <c r="P302" s="54"/>
      <c r="Q302" s="39"/>
      <c r="R302" s="39"/>
      <c r="U302" s="41"/>
    </row>
    <row r="303" spans="1:21" s="40" customFormat="1" ht="16.8" customHeight="1">
      <c r="A303" s="33">
        <f>IF(H303&lt;&gt;"",1+MAX($A$5:A302),"")</f>
        <v>220</v>
      </c>
      <c r="B303" s="79"/>
      <c r="C303" s="69"/>
      <c r="D303" s="27" t="s">
        <v>240</v>
      </c>
      <c r="E303" s="35">
        <v>2342</v>
      </c>
      <c r="F303" s="36">
        <v>0.1</v>
      </c>
      <c r="G303" s="37">
        <f t="shared" si="218"/>
        <v>2576.2000000000003</v>
      </c>
      <c r="H303" s="38" t="s">
        <v>32</v>
      </c>
      <c r="I303" s="19">
        <v>0.64051999999999998</v>
      </c>
      <c r="J303" s="19">
        <f t="shared" si="223"/>
        <v>1650.1076240000002</v>
      </c>
      <c r="K303" s="31">
        <v>8.8999999999999999E-3</v>
      </c>
      <c r="L303" s="19">
        <f t="shared" si="224"/>
        <v>40</v>
      </c>
      <c r="M303" s="32">
        <f t="shared" si="225"/>
        <v>22.928180000000001</v>
      </c>
      <c r="N303" s="11">
        <f t="shared" si="226"/>
        <v>917.12720000000002</v>
      </c>
      <c r="O303" s="11">
        <f t="shared" si="227"/>
        <v>2567.2348240000001</v>
      </c>
      <c r="P303" s="54"/>
      <c r="Q303" s="39"/>
      <c r="R303" s="39"/>
      <c r="U303" s="41"/>
    </row>
    <row r="304" spans="1:21" s="40" customFormat="1" ht="16.8" customHeight="1">
      <c r="A304" s="33">
        <f>IF(H304&lt;&gt;"",1+MAX($A$5:A303),"")</f>
        <v>221</v>
      </c>
      <c r="B304" s="79"/>
      <c r="C304" s="69"/>
      <c r="D304" s="27" t="s">
        <v>241</v>
      </c>
      <c r="E304" s="35">
        <f>243.41+45+81.89</f>
        <v>370.29999999999995</v>
      </c>
      <c r="F304" s="36">
        <v>0.1</v>
      </c>
      <c r="G304" s="37">
        <f t="shared" si="218"/>
        <v>407.33</v>
      </c>
      <c r="H304" s="38" t="s">
        <v>4</v>
      </c>
      <c r="I304" s="19">
        <v>6.2139999999999995</v>
      </c>
      <c r="J304" s="19">
        <f t="shared" si="223"/>
        <v>2531.1486199999995</v>
      </c>
      <c r="K304" s="31">
        <v>0.04</v>
      </c>
      <c r="L304" s="19">
        <f t="shared" si="224"/>
        <v>40</v>
      </c>
      <c r="M304" s="32">
        <f t="shared" si="225"/>
        <v>16.293199999999999</v>
      </c>
      <c r="N304" s="11">
        <f t="shared" si="226"/>
        <v>651.72799999999995</v>
      </c>
      <c r="O304" s="11">
        <f t="shared" si="227"/>
        <v>3182.8766199999995</v>
      </c>
      <c r="P304" s="54"/>
      <c r="Q304" s="39"/>
      <c r="R304" s="39"/>
      <c r="U304" s="41"/>
    </row>
    <row r="305" spans="1:21" s="40" customFormat="1" ht="16.8" customHeight="1">
      <c r="A305" s="33">
        <f>IF(H305&lt;&gt;"",1+MAX($A$5:A304),"")</f>
        <v>222</v>
      </c>
      <c r="B305" s="79"/>
      <c r="C305" s="69"/>
      <c r="D305" s="27" t="s">
        <v>242</v>
      </c>
      <c r="E305" s="35">
        <f>243.41+45+81.89</f>
        <v>370.29999999999995</v>
      </c>
      <c r="F305" s="36">
        <v>0.1</v>
      </c>
      <c r="G305" s="37">
        <f t="shared" si="218"/>
        <v>407.33</v>
      </c>
      <c r="H305" s="38" t="s">
        <v>4</v>
      </c>
      <c r="I305" s="19">
        <v>3.2504</v>
      </c>
      <c r="J305" s="19">
        <f t="shared" si="223"/>
        <v>1323.9854319999999</v>
      </c>
      <c r="K305" s="31">
        <v>0.03</v>
      </c>
      <c r="L305" s="19">
        <f t="shared" si="224"/>
        <v>40</v>
      </c>
      <c r="M305" s="32">
        <f t="shared" si="225"/>
        <v>12.219899999999999</v>
      </c>
      <c r="N305" s="11">
        <f t="shared" si="226"/>
        <v>488.79599999999994</v>
      </c>
      <c r="O305" s="11">
        <f t="shared" si="227"/>
        <v>1812.7814319999998</v>
      </c>
      <c r="P305" s="54"/>
      <c r="Q305" s="39"/>
      <c r="R305" s="39"/>
      <c r="U305" s="41"/>
    </row>
    <row r="306" spans="1:21" s="40" customFormat="1" ht="16.8" customHeight="1">
      <c r="A306" s="33">
        <f>IF(H306&lt;&gt;"",1+MAX($A$5:A305),"")</f>
        <v>223</v>
      </c>
      <c r="B306" s="79"/>
      <c r="C306" s="69"/>
      <c r="D306" s="27" t="s">
        <v>243</v>
      </c>
      <c r="E306" s="35">
        <f>243.41+45+81.89</f>
        <v>370.29999999999995</v>
      </c>
      <c r="F306" s="36">
        <v>0.1</v>
      </c>
      <c r="G306" s="37">
        <f t="shared" si="218"/>
        <v>407.33</v>
      </c>
      <c r="H306" s="38" t="s">
        <v>4</v>
      </c>
      <c r="I306" s="19">
        <v>2.1987999999999999</v>
      </c>
      <c r="J306" s="19">
        <f t="shared" si="223"/>
        <v>895.63720399999988</v>
      </c>
      <c r="K306" s="31">
        <v>0.02</v>
      </c>
      <c r="L306" s="19">
        <f t="shared" si="224"/>
        <v>40</v>
      </c>
      <c r="M306" s="32">
        <f t="shared" si="225"/>
        <v>8.1465999999999994</v>
      </c>
      <c r="N306" s="11">
        <f t="shared" si="226"/>
        <v>325.86399999999998</v>
      </c>
      <c r="O306" s="11">
        <f t="shared" si="227"/>
        <v>1221.5012039999999</v>
      </c>
      <c r="P306" s="54"/>
      <c r="Q306" s="39"/>
      <c r="R306" s="39"/>
      <c r="U306" s="41"/>
    </row>
    <row r="307" spans="1:21" s="40" customFormat="1" ht="16.8" customHeight="1">
      <c r="A307" s="33">
        <f>IF(H307&lt;&gt;"",1+MAX($A$5:A306),"")</f>
        <v>224</v>
      </c>
      <c r="B307" s="79"/>
      <c r="C307" s="69"/>
      <c r="D307" s="27" t="s">
        <v>244</v>
      </c>
      <c r="E307" s="35">
        <f>243.41+45+81.89</f>
        <v>370.29999999999995</v>
      </c>
      <c r="F307" s="36">
        <v>0.1</v>
      </c>
      <c r="G307" s="37">
        <f t="shared" si="218"/>
        <v>407.33</v>
      </c>
      <c r="H307" s="38" t="s">
        <v>4</v>
      </c>
      <c r="I307" s="19">
        <v>3.2504</v>
      </c>
      <c r="J307" s="19">
        <f t="shared" si="223"/>
        <v>1323.9854319999999</v>
      </c>
      <c r="K307" s="31">
        <v>0.03</v>
      </c>
      <c r="L307" s="19">
        <f t="shared" si="224"/>
        <v>40</v>
      </c>
      <c r="M307" s="32">
        <f t="shared" si="225"/>
        <v>12.219899999999999</v>
      </c>
      <c r="N307" s="11">
        <f t="shared" si="226"/>
        <v>488.79599999999994</v>
      </c>
      <c r="O307" s="11">
        <f t="shared" si="227"/>
        <v>1812.7814319999998</v>
      </c>
      <c r="P307" s="54"/>
      <c r="Q307" s="39"/>
      <c r="R307" s="39"/>
      <c r="U307" s="41"/>
    </row>
    <row r="308" spans="1:21" s="40" customFormat="1" ht="16.8" customHeight="1">
      <c r="A308" s="33">
        <f>IF(H308&lt;&gt;"",1+MAX($A$5:A307),"")</f>
        <v>225</v>
      </c>
      <c r="B308" s="79"/>
      <c r="C308" s="69"/>
      <c r="D308" s="27" t="s">
        <v>245</v>
      </c>
      <c r="E308" s="35">
        <f>243.41+45</f>
        <v>288.40999999999997</v>
      </c>
      <c r="F308" s="36">
        <v>0.1</v>
      </c>
      <c r="G308" s="37">
        <f t="shared" si="218"/>
        <v>317.25099999999998</v>
      </c>
      <c r="H308" s="38" t="s">
        <v>4</v>
      </c>
      <c r="I308" s="19">
        <v>12.619199999999999</v>
      </c>
      <c r="J308" s="19">
        <f t="shared" si="223"/>
        <v>4003.4538191999995</v>
      </c>
      <c r="K308" s="31">
        <v>4.4999999999999998E-2</v>
      </c>
      <c r="L308" s="19">
        <f t="shared" si="224"/>
        <v>40</v>
      </c>
      <c r="M308" s="32">
        <f t="shared" si="225"/>
        <v>14.276294999999999</v>
      </c>
      <c r="N308" s="11">
        <f t="shared" si="226"/>
        <v>571.05179999999996</v>
      </c>
      <c r="O308" s="11">
        <f t="shared" si="227"/>
        <v>4574.5056191999993</v>
      </c>
      <c r="P308" s="54"/>
      <c r="Q308" s="39"/>
      <c r="R308" s="39"/>
      <c r="U308" s="41"/>
    </row>
    <row r="309" spans="1:21" s="40" customFormat="1" ht="16.8" customHeight="1">
      <c r="A309" s="33">
        <f>IF(H309&lt;&gt;"",1+MAX($A$5:A308),"")</f>
        <v>226</v>
      </c>
      <c r="B309" s="79"/>
      <c r="C309" s="69"/>
      <c r="D309" s="27" t="s">
        <v>246</v>
      </c>
      <c r="E309" s="35">
        <v>112.29</v>
      </c>
      <c r="F309" s="36">
        <v>0.1</v>
      </c>
      <c r="G309" s="37">
        <f t="shared" si="218"/>
        <v>123.51900000000002</v>
      </c>
      <c r="H309" s="38" t="s">
        <v>4</v>
      </c>
      <c r="I309" s="19">
        <v>5.1623999999999999</v>
      </c>
      <c r="J309" s="19">
        <f t="shared" si="223"/>
        <v>637.65448560000004</v>
      </c>
      <c r="K309" s="31">
        <v>0.04</v>
      </c>
      <c r="L309" s="19">
        <f t="shared" si="224"/>
        <v>40</v>
      </c>
      <c r="M309" s="32">
        <f t="shared" si="225"/>
        <v>4.9407600000000009</v>
      </c>
      <c r="N309" s="11">
        <f t="shared" si="226"/>
        <v>197.63040000000004</v>
      </c>
      <c r="O309" s="11">
        <f t="shared" si="227"/>
        <v>835.28488560000005</v>
      </c>
      <c r="P309" s="54"/>
      <c r="Q309" s="39"/>
      <c r="R309" s="39"/>
      <c r="U309" s="41"/>
    </row>
    <row r="310" spans="1:21" s="40" customFormat="1" ht="16.8" customHeight="1">
      <c r="A310" s="33" t="str">
        <f>IF(H310&lt;&gt;"",1+MAX($A$5:A309),"")</f>
        <v/>
      </c>
      <c r="B310" s="79"/>
      <c r="C310" s="69"/>
      <c r="D310" s="27" t="s">
        <v>96</v>
      </c>
      <c r="E310" s="35"/>
      <c r="F310" s="36"/>
      <c r="G310" s="37"/>
      <c r="H310" s="38"/>
      <c r="I310" s="19"/>
      <c r="J310" s="19"/>
      <c r="K310" s="31"/>
      <c r="L310" s="19"/>
      <c r="M310" s="32"/>
      <c r="N310" s="11"/>
      <c r="O310" s="11"/>
      <c r="P310" s="54"/>
      <c r="Q310" s="39"/>
      <c r="R310" s="39"/>
      <c r="U310" s="41"/>
    </row>
    <row r="311" spans="1:21" s="40" customFormat="1" ht="16.8" customHeight="1">
      <c r="A311" s="33" t="str">
        <f>IF(H311&lt;&gt;"",1+MAX($A$5:A310),"")</f>
        <v/>
      </c>
      <c r="B311" s="79"/>
      <c r="C311" s="69"/>
      <c r="D311" s="94" t="s">
        <v>247</v>
      </c>
      <c r="E311" s="35"/>
      <c r="F311" s="36"/>
      <c r="G311" s="37"/>
      <c r="H311" s="38"/>
      <c r="I311" s="19"/>
      <c r="J311" s="19"/>
      <c r="K311" s="31"/>
      <c r="L311" s="19"/>
      <c r="M311" s="32"/>
      <c r="N311" s="11"/>
      <c r="O311" s="11"/>
      <c r="P311" s="54"/>
      <c r="Q311" s="39"/>
      <c r="R311" s="39"/>
      <c r="U311" s="41"/>
    </row>
    <row r="312" spans="1:21" s="40" customFormat="1" ht="16.8" customHeight="1">
      <c r="A312" s="33">
        <f>IF(H312&lt;&gt;"",1+MAX($A$5:A311),"")</f>
        <v>227</v>
      </c>
      <c r="B312" s="79"/>
      <c r="C312" s="69"/>
      <c r="D312" s="27" t="s">
        <v>248</v>
      </c>
      <c r="E312" s="35">
        <v>17</v>
      </c>
      <c r="F312" s="36">
        <v>0.1</v>
      </c>
      <c r="G312" s="37">
        <f>(1+F312)*E312</f>
        <v>18.700000000000003</v>
      </c>
      <c r="H312" s="38" t="s">
        <v>32</v>
      </c>
      <c r="I312" s="19">
        <v>30.878799999999995</v>
      </c>
      <c r="J312" s="19">
        <f t="shared" ref="J312:J316" si="228">I312*G312</f>
        <v>577.43355999999994</v>
      </c>
      <c r="K312" s="31">
        <v>0.12</v>
      </c>
      <c r="L312" s="19">
        <f t="shared" ref="L312:L316" si="229">$O$298</f>
        <v>40</v>
      </c>
      <c r="M312" s="32">
        <f t="shared" ref="M312:M316" si="230">K312*G312</f>
        <v>2.2440000000000002</v>
      </c>
      <c r="N312" s="11">
        <f t="shared" ref="N312:N316" si="231">M312*L312</f>
        <v>89.76</v>
      </c>
      <c r="O312" s="11">
        <f t="shared" ref="O312:O316" si="232">N312+J312</f>
        <v>667.19355999999993</v>
      </c>
      <c r="P312" s="54"/>
      <c r="Q312" s="39"/>
      <c r="R312" s="39"/>
      <c r="U312" s="41"/>
    </row>
    <row r="313" spans="1:21" s="40" customFormat="1" ht="16.8" customHeight="1">
      <c r="A313" s="33">
        <f>IF(H313&lt;&gt;"",1+MAX($A$5:A312),"")</f>
        <v>228</v>
      </c>
      <c r="B313" s="79"/>
      <c r="C313" s="69"/>
      <c r="D313" s="27" t="s">
        <v>249</v>
      </c>
      <c r="E313" s="35">
        <v>6.5</v>
      </c>
      <c r="F313" s="36">
        <v>0.1</v>
      </c>
      <c r="G313" s="37">
        <f>(1+F313)*E313</f>
        <v>7.15</v>
      </c>
      <c r="H313" s="38" t="s">
        <v>4</v>
      </c>
      <c r="I313" s="19">
        <v>3.2504</v>
      </c>
      <c r="J313" s="19">
        <f t="shared" si="228"/>
        <v>23.240360000000003</v>
      </c>
      <c r="K313" s="31">
        <v>2.3E-2</v>
      </c>
      <c r="L313" s="19">
        <f t="shared" si="229"/>
        <v>40</v>
      </c>
      <c r="M313" s="32">
        <f t="shared" si="230"/>
        <v>0.16445000000000001</v>
      </c>
      <c r="N313" s="11">
        <f t="shared" si="231"/>
        <v>6.5780000000000003</v>
      </c>
      <c r="O313" s="11">
        <f t="shared" si="232"/>
        <v>29.818360000000002</v>
      </c>
      <c r="P313" s="54"/>
      <c r="Q313" s="39"/>
      <c r="R313" s="39"/>
      <c r="U313" s="41"/>
    </row>
    <row r="314" spans="1:21" s="40" customFormat="1" ht="16.8" customHeight="1">
      <c r="A314" s="33">
        <f>IF(H314&lt;&gt;"",1+MAX($A$5:A313),"")</f>
        <v>229</v>
      </c>
      <c r="B314" s="79"/>
      <c r="C314" s="69"/>
      <c r="D314" s="27" t="s">
        <v>250</v>
      </c>
      <c r="E314" s="35">
        <v>19.5</v>
      </c>
      <c r="F314" s="36">
        <v>0.1</v>
      </c>
      <c r="G314" s="37">
        <f>(1+F314)*E314</f>
        <v>21.450000000000003</v>
      </c>
      <c r="H314" s="38" t="s">
        <v>4</v>
      </c>
      <c r="I314" s="19">
        <v>3.2504</v>
      </c>
      <c r="J314" s="19">
        <f t="shared" si="228"/>
        <v>69.721080000000015</v>
      </c>
      <c r="K314" s="31">
        <v>0.03</v>
      </c>
      <c r="L314" s="19">
        <f t="shared" si="229"/>
        <v>40</v>
      </c>
      <c r="M314" s="32">
        <f t="shared" si="230"/>
        <v>0.64350000000000007</v>
      </c>
      <c r="N314" s="11">
        <f t="shared" si="231"/>
        <v>25.740000000000002</v>
      </c>
      <c r="O314" s="11">
        <f t="shared" si="232"/>
        <v>95.46108000000001</v>
      </c>
      <c r="P314" s="54"/>
      <c r="Q314" s="39"/>
      <c r="R314" s="39"/>
      <c r="U314" s="41"/>
    </row>
    <row r="315" spans="1:21" s="40" customFormat="1" ht="16.8" customHeight="1">
      <c r="A315" s="33">
        <f>IF(H315&lt;&gt;"",1+MAX($A$5:A314),"")</f>
        <v>230</v>
      </c>
      <c r="B315" s="79"/>
      <c r="C315" s="69"/>
      <c r="D315" s="27" t="s">
        <v>251</v>
      </c>
      <c r="E315" s="35">
        <v>11.66</v>
      </c>
      <c r="F315" s="36">
        <v>0.1</v>
      </c>
      <c r="G315" s="37">
        <f>(1+F315)*E315</f>
        <v>12.826000000000001</v>
      </c>
      <c r="H315" s="38" t="s">
        <v>4</v>
      </c>
      <c r="I315" s="19">
        <v>5.1623999999999999</v>
      </c>
      <c r="J315" s="19">
        <f t="shared" si="228"/>
        <v>66.212942400000003</v>
      </c>
      <c r="K315" s="31">
        <v>6.7000000000000004E-2</v>
      </c>
      <c r="L315" s="19">
        <f t="shared" si="229"/>
        <v>40</v>
      </c>
      <c r="M315" s="32">
        <f t="shared" si="230"/>
        <v>0.85934200000000005</v>
      </c>
      <c r="N315" s="11">
        <f t="shared" si="231"/>
        <v>34.37368</v>
      </c>
      <c r="O315" s="11">
        <f t="shared" si="232"/>
        <v>100.58662240000001</v>
      </c>
      <c r="P315" s="54"/>
      <c r="Q315" s="39"/>
      <c r="R315" s="39"/>
      <c r="U315" s="41"/>
    </row>
    <row r="316" spans="1:21" s="40" customFormat="1" ht="16.8" customHeight="1">
      <c r="A316" s="33">
        <f>IF(H316&lt;&gt;"",1+MAX($A$5:A315),"")</f>
        <v>231</v>
      </c>
      <c r="B316" s="79"/>
      <c r="C316" s="69"/>
      <c r="D316" s="27" t="s">
        <v>252</v>
      </c>
      <c r="E316" s="35">
        <v>11.66</v>
      </c>
      <c r="F316" s="36">
        <v>0.1</v>
      </c>
      <c r="G316" s="37">
        <f>(1+F316)*E316</f>
        <v>12.826000000000001</v>
      </c>
      <c r="H316" s="38" t="s">
        <v>4</v>
      </c>
      <c r="I316" s="19">
        <v>3.0592000000000001</v>
      </c>
      <c r="J316" s="19">
        <f t="shared" si="228"/>
        <v>39.237299200000002</v>
      </c>
      <c r="K316" s="31">
        <v>0.03</v>
      </c>
      <c r="L316" s="19">
        <f t="shared" si="229"/>
        <v>40</v>
      </c>
      <c r="M316" s="32">
        <f t="shared" si="230"/>
        <v>0.38478000000000001</v>
      </c>
      <c r="N316" s="11">
        <f t="shared" si="231"/>
        <v>15.391200000000001</v>
      </c>
      <c r="O316" s="11">
        <f t="shared" si="232"/>
        <v>54.628499200000007</v>
      </c>
      <c r="P316" s="54"/>
      <c r="Q316" s="39"/>
      <c r="R316" s="39"/>
      <c r="U316" s="41"/>
    </row>
    <row r="317" spans="1:21" s="40" customFormat="1" ht="16.8" customHeight="1">
      <c r="A317" s="33" t="str">
        <f>IF(H317&lt;&gt;"",1+MAX($A$5:A316),"")</f>
        <v/>
      </c>
      <c r="B317" s="79"/>
      <c r="C317" s="69"/>
      <c r="D317" s="27" t="s">
        <v>96</v>
      </c>
      <c r="E317" s="35"/>
      <c r="F317" s="36"/>
      <c r="G317" s="37"/>
      <c r="H317" s="38"/>
      <c r="I317" s="19"/>
      <c r="J317" s="19"/>
      <c r="K317" s="31"/>
      <c r="L317" s="19"/>
      <c r="M317" s="32"/>
      <c r="N317" s="11"/>
      <c r="O317" s="11"/>
      <c r="P317" s="54"/>
      <c r="Q317" s="39"/>
      <c r="R317" s="39"/>
      <c r="U317" s="41"/>
    </row>
    <row r="318" spans="1:21" s="40" customFormat="1" ht="16.8" customHeight="1">
      <c r="A318" s="33" t="str">
        <f>IF(H318&lt;&gt;"",1+MAX($A$5:A317),"")</f>
        <v/>
      </c>
      <c r="B318" s="79"/>
      <c r="C318" s="69"/>
      <c r="D318" s="94" t="s">
        <v>253</v>
      </c>
      <c r="E318" s="35"/>
      <c r="F318" s="36"/>
      <c r="G318" s="37"/>
      <c r="H318" s="38"/>
      <c r="I318" s="19"/>
      <c r="J318" s="19"/>
      <c r="K318" s="31"/>
      <c r="L318" s="19"/>
      <c r="M318" s="32"/>
      <c r="N318" s="11"/>
      <c r="O318" s="11"/>
      <c r="P318" s="54"/>
      <c r="Q318" s="39"/>
      <c r="R318" s="39"/>
      <c r="U318" s="41"/>
    </row>
    <row r="319" spans="1:21" s="40" customFormat="1" ht="16.8" customHeight="1">
      <c r="A319" s="33">
        <f>IF(H319&lt;&gt;"",1+MAX($A$5:A318),"")</f>
        <v>232</v>
      </c>
      <c r="B319" s="79"/>
      <c r="C319" s="69"/>
      <c r="D319" s="27" t="s">
        <v>254</v>
      </c>
      <c r="E319" s="35">
        <v>287</v>
      </c>
      <c r="F319" s="36">
        <v>0.1</v>
      </c>
      <c r="G319" s="37">
        <f t="shared" ref="G319:G324" si="233">(1+F319)*E319</f>
        <v>315.70000000000005</v>
      </c>
      <c r="H319" s="38" t="s">
        <v>32</v>
      </c>
      <c r="I319" s="19">
        <v>3.3460000000000001</v>
      </c>
      <c r="J319" s="19">
        <f t="shared" ref="J319:J324" si="234">I319*G319</f>
        <v>1056.3322000000003</v>
      </c>
      <c r="K319" s="31">
        <v>0.04</v>
      </c>
      <c r="L319" s="19">
        <f t="shared" ref="L319:L324" si="235">$O$298</f>
        <v>40</v>
      </c>
      <c r="M319" s="32">
        <f t="shared" ref="M319:M324" si="236">K319*G319</f>
        <v>12.628000000000002</v>
      </c>
      <c r="N319" s="11">
        <f t="shared" ref="N319:N324" si="237">M319*L319</f>
        <v>505.12000000000006</v>
      </c>
      <c r="O319" s="11">
        <f t="shared" ref="O319:O324" si="238">N319+J319</f>
        <v>1561.4522000000004</v>
      </c>
      <c r="P319" s="54"/>
      <c r="Q319" s="39"/>
      <c r="R319" s="39"/>
      <c r="U319" s="41"/>
    </row>
    <row r="320" spans="1:21" s="40" customFormat="1" ht="16.8" customHeight="1">
      <c r="A320" s="33">
        <f>IF(H320&lt;&gt;"",1+MAX($A$5:A319),"")</f>
        <v>233</v>
      </c>
      <c r="B320" s="79"/>
      <c r="C320" s="69"/>
      <c r="D320" s="27" t="s">
        <v>255</v>
      </c>
      <c r="E320" s="35">
        <v>147</v>
      </c>
      <c r="F320" s="36">
        <v>0.1</v>
      </c>
      <c r="G320" s="37">
        <f t="shared" si="233"/>
        <v>161.70000000000002</v>
      </c>
      <c r="H320" s="38" t="s">
        <v>32</v>
      </c>
      <c r="I320" s="19">
        <v>1.0707200000000001</v>
      </c>
      <c r="J320" s="19">
        <f t="shared" si="234"/>
        <v>173.13542400000003</v>
      </c>
      <c r="K320" s="31">
        <v>0.02</v>
      </c>
      <c r="L320" s="19">
        <f t="shared" si="235"/>
        <v>40</v>
      </c>
      <c r="M320" s="32">
        <f t="shared" si="236"/>
        <v>3.2340000000000004</v>
      </c>
      <c r="N320" s="11">
        <f t="shared" si="237"/>
        <v>129.36000000000001</v>
      </c>
      <c r="O320" s="11">
        <f t="shared" si="238"/>
        <v>302.49542400000007</v>
      </c>
      <c r="P320" s="54"/>
      <c r="Q320" s="39"/>
      <c r="R320" s="39"/>
      <c r="U320" s="41"/>
    </row>
    <row r="321" spans="1:21" s="40" customFormat="1" ht="16.8" customHeight="1">
      <c r="A321" s="33">
        <f>IF(H321&lt;&gt;"",1+MAX($A$5:A320),"")</f>
        <v>234</v>
      </c>
      <c r="B321" s="79"/>
      <c r="C321" s="69"/>
      <c r="D321" s="27" t="s">
        <v>256</v>
      </c>
      <c r="E321" s="35">
        <v>46.35</v>
      </c>
      <c r="F321" s="36">
        <v>0.1</v>
      </c>
      <c r="G321" s="37">
        <f t="shared" si="233"/>
        <v>50.985000000000007</v>
      </c>
      <c r="H321" s="38" t="s">
        <v>4</v>
      </c>
      <c r="I321" s="19">
        <v>4.1107999999999993</v>
      </c>
      <c r="J321" s="19">
        <f t="shared" si="234"/>
        <v>209.58913799999999</v>
      </c>
      <c r="K321" s="31">
        <v>0.03</v>
      </c>
      <c r="L321" s="19">
        <f t="shared" si="235"/>
        <v>40</v>
      </c>
      <c r="M321" s="32">
        <f t="shared" si="236"/>
        <v>1.5295500000000002</v>
      </c>
      <c r="N321" s="11">
        <f t="shared" si="237"/>
        <v>61.182000000000009</v>
      </c>
      <c r="O321" s="11">
        <f t="shared" si="238"/>
        <v>270.77113800000001</v>
      </c>
      <c r="P321" s="54"/>
      <c r="Q321" s="39"/>
      <c r="R321" s="39"/>
      <c r="U321" s="41"/>
    </row>
    <row r="322" spans="1:21" s="40" customFormat="1" ht="16.8" customHeight="1">
      <c r="A322" s="33">
        <f>IF(H322&lt;&gt;"",1+MAX($A$5:A321),"")</f>
        <v>235</v>
      </c>
      <c r="B322" s="79"/>
      <c r="C322" s="69"/>
      <c r="D322" s="27" t="s">
        <v>257</v>
      </c>
      <c r="E322" s="35">
        <v>60.14</v>
      </c>
      <c r="F322" s="36">
        <v>0.1</v>
      </c>
      <c r="G322" s="37">
        <f t="shared" si="233"/>
        <v>66.154000000000011</v>
      </c>
      <c r="H322" s="38" t="s">
        <v>4</v>
      </c>
      <c r="I322" s="19">
        <v>6.2139999999999995</v>
      </c>
      <c r="J322" s="19">
        <f t="shared" si="234"/>
        <v>411.08095600000001</v>
      </c>
      <c r="K322" s="31">
        <v>0.04</v>
      </c>
      <c r="L322" s="19">
        <f t="shared" si="235"/>
        <v>40</v>
      </c>
      <c r="M322" s="32">
        <f t="shared" si="236"/>
        <v>2.6461600000000005</v>
      </c>
      <c r="N322" s="11">
        <f t="shared" si="237"/>
        <v>105.84640000000002</v>
      </c>
      <c r="O322" s="11">
        <f t="shared" si="238"/>
        <v>516.92735600000003</v>
      </c>
      <c r="P322" s="54"/>
      <c r="Q322" s="39"/>
      <c r="R322" s="39"/>
      <c r="U322" s="41"/>
    </row>
    <row r="323" spans="1:21" s="40" customFormat="1" ht="16.8" customHeight="1">
      <c r="A323" s="33">
        <f>IF(H323&lt;&gt;"",1+MAX($A$5:A322),"")</f>
        <v>236</v>
      </c>
      <c r="B323" s="79"/>
      <c r="C323" s="69"/>
      <c r="D323" s="27" t="s">
        <v>258</v>
      </c>
      <c r="E323" s="35">
        <v>60.14</v>
      </c>
      <c r="F323" s="36">
        <v>0.1</v>
      </c>
      <c r="G323" s="37">
        <f t="shared" si="233"/>
        <v>66.154000000000011</v>
      </c>
      <c r="H323" s="38" t="s">
        <v>4</v>
      </c>
      <c r="I323" s="19">
        <v>3.3460000000000001</v>
      </c>
      <c r="J323" s="19">
        <f t="shared" si="234"/>
        <v>221.35128400000005</v>
      </c>
      <c r="K323" s="31">
        <v>4.2999999999999997E-2</v>
      </c>
      <c r="L323" s="19">
        <f t="shared" si="235"/>
        <v>40</v>
      </c>
      <c r="M323" s="32">
        <f t="shared" si="236"/>
        <v>2.8446220000000002</v>
      </c>
      <c r="N323" s="11">
        <f t="shared" si="237"/>
        <v>113.78488000000002</v>
      </c>
      <c r="O323" s="11">
        <f t="shared" si="238"/>
        <v>335.13616400000006</v>
      </c>
      <c r="P323" s="54"/>
      <c r="Q323" s="39"/>
      <c r="R323" s="39"/>
      <c r="U323" s="41"/>
    </row>
    <row r="324" spans="1:21" s="40" customFormat="1" ht="16.8" customHeight="1">
      <c r="A324" s="33">
        <f>IF(H324&lt;&gt;"",1+MAX($A$5:A323),"")</f>
        <v>237</v>
      </c>
      <c r="B324" s="79"/>
      <c r="C324" s="69"/>
      <c r="D324" s="27" t="s">
        <v>259</v>
      </c>
      <c r="E324" s="35">
        <v>60.14</v>
      </c>
      <c r="F324" s="36">
        <v>0.1</v>
      </c>
      <c r="G324" s="37">
        <f t="shared" si="233"/>
        <v>66.154000000000011</v>
      </c>
      <c r="H324" s="38" t="s">
        <v>4</v>
      </c>
      <c r="I324" s="19">
        <v>3.0592000000000001</v>
      </c>
      <c r="J324" s="19">
        <f t="shared" si="234"/>
        <v>202.37831680000005</v>
      </c>
      <c r="K324" s="31">
        <v>3.4000000000000002E-2</v>
      </c>
      <c r="L324" s="19">
        <f t="shared" si="235"/>
        <v>40</v>
      </c>
      <c r="M324" s="32">
        <f t="shared" si="236"/>
        <v>2.2492360000000007</v>
      </c>
      <c r="N324" s="11">
        <f t="shared" si="237"/>
        <v>89.96944000000002</v>
      </c>
      <c r="O324" s="11">
        <f t="shared" si="238"/>
        <v>292.34775680000007</v>
      </c>
      <c r="P324" s="54"/>
      <c r="Q324" s="39"/>
      <c r="R324" s="39"/>
      <c r="U324" s="41"/>
    </row>
    <row r="325" spans="1:21" s="40" customFormat="1" ht="16.8" customHeight="1">
      <c r="A325" s="33" t="str">
        <f>IF(H325&lt;&gt;"",1+MAX($A$5:A324),"")</f>
        <v/>
      </c>
      <c r="B325" s="79"/>
      <c r="C325" s="69"/>
      <c r="D325" s="27"/>
      <c r="E325" s="35"/>
      <c r="F325" s="36"/>
      <c r="G325" s="37"/>
      <c r="H325" s="38"/>
      <c r="I325" s="19"/>
      <c r="J325" s="19"/>
      <c r="K325" s="31"/>
      <c r="L325" s="19"/>
      <c r="M325" s="32"/>
      <c r="N325" s="11"/>
      <c r="O325" s="11"/>
      <c r="P325" s="54"/>
      <c r="Q325" s="39"/>
      <c r="R325" s="39"/>
      <c r="U325" s="41"/>
    </row>
    <row r="326" spans="1:21" s="107" customFormat="1" ht="18">
      <c r="A326" s="98" t="str">
        <f>IF(H326&lt;&gt;"",1+MAX($A$5:A326),"")</f>
        <v/>
      </c>
      <c r="B326" s="99"/>
      <c r="C326" s="99"/>
      <c r="D326" s="100" t="s">
        <v>37</v>
      </c>
      <c r="E326" s="101"/>
      <c r="F326" s="102"/>
      <c r="G326" s="103"/>
      <c r="H326" s="102"/>
      <c r="I326" s="102"/>
      <c r="J326" s="102"/>
      <c r="K326" s="102"/>
      <c r="L326" s="102"/>
      <c r="M326" s="102"/>
      <c r="N326" s="104"/>
      <c r="O326" s="102"/>
      <c r="P326" s="105">
        <f>SUM(O329:O376)</f>
        <v>75516.835323999985</v>
      </c>
      <c r="Q326" s="39"/>
      <c r="R326" s="106"/>
      <c r="U326" s="108"/>
    </row>
    <row r="327" spans="1:21" s="3" customFormat="1">
      <c r="A327" s="33" t="str">
        <f>IF(H327&lt;&gt;"",1+MAX($A$5:A326),"")</f>
        <v/>
      </c>
      <c r="B327" s="62"/>
      <c r="C327" s="68"/>
      <c r="D327" s="63"/>
      <c r="E327" s="15"/>
      <c r="F327" s="16"/>
      <c r="G327" s="21"/>
      <c r="H327" s="17"/>
      <c r="I327" s="17"/>
      <c r="J327" s="17"/>
      <c r="K327" s="17"/>
      <c r="L327" s="17"/>
      <c r="M327" s="17"/>
      <c r="N327" s="82" t="s">
        <v>20</v>
      </c>
      <c r="O327" s="29">
        <v>45</v>
      </c>
      <c r="P327" s="54"/>
      <c r="Q327" s="39"/>
      <c r="R327" s="2"/>
      <c r="U327" s="14"/>
    </row>
    <row r="328" spans="1:21" s="40" customFormat="1" ht="16.8" customHeight="1">
      <c r="A328" s="33" t="str">
        <f>IF(H328&lt;&gt;"",1+MAX($A$5:A327),"")</f>
        <v/>
      </c>
      <c r="B328" s="79"/>
      <c r="C328" s="69"/>
      <c r="D328" s="114" t="s">
        <v>260</v>
      </c>
      <c r="E328" s="35"/>
      <c r="F328" s="36"/>
      <c r="G328" s="37"/>
      <c r="H328" s="38"/>
      <c r="I328" s="19"/>
      <c r="J328" s="19"/>
      <c r="K328" s="31"/>
      <c r="L328" s="19"/>
      <c r="M328" s="32"/>
      <c r="N328" s="11"/>
      <c r="O328" s="11"/>
      <c r="P328" s="54"/>
      <c r="Q328" s="39"/>
      <c r="R328" s="39"/>
      <c r="U328" s="41"/>
    </row>
    <row r="329" spans="1:21" s="40" customFormat="1" ht="16.8" customHeight="1">
      <c r="A329" s="33">
        <f>IF(H329&lt;&gt;"",1+MAX($A$5:A328),"")</f>
        <v>238</v>
      </c>
      <c r="B329" s="79"/>
      <c r="C329" s="69"/>
      <c r="D329" s="27" t="s">
        <v>261</v>
      </c>
      <c r="E329" s="35">
        <v>1</v>
      </c>
      <c r="F329" s="36">
        <v>0</v>
      </c>
      <c r="G329" s="37">
        <f t="shared" ref="G329:G352" si="239">(1+F329)*E329</f>
        <v>1</v>
      </c>
      <c r="H329" s="38" t="s">
        <v>3</v>
      </c>
      <c r="I329" s="19">
        <v>1660.5719999999999</v>
      </c>
      <c r="J329" s="19">
        <f t="shared" ref="J329" si="240">I329*G329</f>
        <v>1660.5719999999999</v>
      </c>
      <c r="K329" s="31">
        <v>2.8800000000000003</v>
      </c>
      <c r="L329" s="19">
        <f>$O$327</f>
        <v>45</v>
      </c>
      <c r="M329" s="32">
        <f t="shared" ref="M329" si="241">K329*G329</f>
        <v>2.8800000000000003</v>
      </c>
      <c r="N329" s="11">
        <f t="shared" ref="N329" si="242">M329*L329</f>
        <v>129.60000000000002</v>
      </c>
      <c r="O329" s="11">
        <f t="shared" ref="O329" si="243">N329+J329</f>
        <v>1790.172</v>
      </c>
      <c r="P329" s="54"/>
      <c r="Q329" s="39"/>
      <c r="R329" s="39"/>
      <c r="U329" s="41"/>
    </row>
    <row r="330" spans="1:21" s="40" customFormat="1" ht="16.8" customHeight="1">
      <c r="A330" s="33">
        <f>IF(H330&lt;&gt;"",1+MAX($A$5:A329),"")</f>
        <v>239</v>
      </c>
      <c r="B330" s="79"/>
      <c r="C330" s="69"/>
      <c r="D330" s="27" t="s">
        <v>262</v>
      </c>
      <c r="E330" s="35">
        <v>3</v>
      </c>
      <c r="F330" s="36">
        <v>0</v>
      </c>
      <c r="G330" s="37">
        <f t="shared" si="239"/>
        <v>3</v>
      </c>
      <c r="H330" s="38" t="s">
        <v>3</v>
      </c>
      <c r="I330" s="19">
        <v>2202.6239999999998</v>
      </c>
      <c r="J330" s="19">
        <f t="shared" ref="J330:J352" si="244">I330*G330</f>
        <v>6607.8719999999994</v>
      </c>
      <c r="K330" s="31">
        <v>3.1050000000000004</v>
      </c>
      <c r="L330" s="19">
        <f t="shared" ref="L330:L352" si="245">$O$327</f>
        <v>45</v>
      </c>
      <c r="M330" s="32">
        <f t="shared" ref="M330:M352" si="246">K330*G330</f>
        <v>9.3150000000000013</v>
      </c>
      <c r="N330" s="11">
        <f t="shared" ref="N330:N352" si="247">M330*L330</f>
        <v>419.17500000000007</v>
      </c>
      <c r="O330" s="11">
        <f t="shared" ref="O330:O352" si="248">N330+J330</f>
        <v>7027.0469999999996</v>
      </c>
      <c r="P330" s="54"/>
      <c r="Q330" s="39"/>
      <c r="R330" s="39"/>
      <c r="U330" s="41"/>
    </row>
    <row r="331" spans="1:21" s="40" customFormat="1" ht="16.8" customHeight="1">
      <c r="A331" s="33">
        <f>IF(H331&lt;&gt;"",1+MAX($A$5:A330),"")</f>
        <v>240</v>
      </c>
      <c r="B331" s="79"/>
      <c r="C331" s="69"/>
      <c r="D331" s="27" t="s">
        <v>263</v>
      </c>
      <c r="E331" s="35">
        <v>1</v>
      </c>
      <c r="F331" s="36">
        <v>0</v>
      </c>
      <c r="G331" s="37">
        <f t="shared" si="239"/>
        <v>1</v>
      </c>
      <c r="H331" s="38" t="s">
        <v>3</v>
      </c>
      <c r="I331" s="19">
        <v>963.64799999999991</v>
      </c>
      <c r="J331" s="19">
        <f t="shared" si="244"/>
        <v>963.64799999999991</v>
      </c>
      <c r="K331" s="31">
        <v>1.8</v>
      </c>
      <c r="L331" s="19">
        <f t="shared" si="245"/>
        <v>45</v>
      </c>
      <c r="M331" s="32">
        <f t="shared" si="246"/>
        <v>1.8</v>
      </c>
      <c r="N331" s="11">
        <f t="shared" si="247"/>
        <v>81</v>
      </c>
      <c r="O331" s="11">
        <f t="shared" si="248"/>
        <v>1044.6479999999999</v>
      </c>
      <c r="P331" s="54"/>
      <c r="Q331" s="39"/>
      <c r="R331" s="39"/>
      <c r="U331" s="41"/>
    </row>
    <row r="332" spans="1:21" s="40" customFormat="1" ht="16.8" customHeight="1">
      <c r="A332" s="33">
        <f>IF(H332&lt;&gt;"",1+MAX($A$5:A331),"")</f>
        <v>241</v>
      </c>
      <c r="B332" s="79"/>
      <c r="C332" s="69"/>
      <c r="D332" s="27" t="s">
        <v>264</v>
      </c>
      <c r="E332" s="35">
        <v>1</v>
      </c>
      <c r="F332" s="36">
        <v>0</v>
      </c>
      <c r="G332" s="37">
        <f t="shared" si="239"/>
        <v>1</v>
      </c>
      <c r="H332" s="38" t="s">
        <v>3</v>
      </c>
      <c r="I332" s="19">
        <v>963.64799999999991</v>
      </c>
      <c r="J332" s="19">
        <f t="shared" si="244"/>
        <v>963.64799999999991</v>
      </c>
      <c r="K332" s="31">
        <v>1.8</v>
      </c>
      <c r="L332" s="19">
        <f t="shared" si="245"/>
        <v>45</v>
      </c>
      <c r="M332" s="32">
        <f t="shared" si="246"/>
        <v>1.8</v>
      </c>
      <c r="N332" s="11">
        <f t="shared" si="247"/>
        <v>81</v>
      </c>
      <c r="O332" s="11">
        <f t="shared" si="248"/>
        <v>1044.6479999999999</v>
      </c>
      <c r="P332" s="54"/>
      <c r="Q332" s="39"/>
      <c r="R332" s="39"/>
      <c r="U332" s="41"/>
    </row>
    <row r="333" spans="1:21" s="40" customFormat="1" ht="16.8" customHeight="1">
      <c r="A333" s="33">
        <f>IF(H333&lt;&gt;"",1+MAX($A$5:A332),"")</f>
        <v>242</v>
      </c>
      <c r="B333" s="79"/>
      <c r="C333" s="69"/>
      <c r="D333" s="27" t="s">
        <v>265</v>
      </c>
      <c r="E333" s="35">
        <v>2</v>
      </c>
      <c r="F333" s="36">
        <v>0</v>
      </c>
      <c r="G333" s="37">
        <f t="shared" si="239"/>
        <v>2</v>
      </c>
      <c r="H333" s="38" t="s">
        <v>3</v>
      </c>
      <c r="I333" s="19">
        <v>963.64799999999991</v>
      </c>
      <c r="J333" s="19">
        <f t="shared" si="244"/>
        <v>1927.2959999999998</v>
      </c>
      <c r="K333" s="31">
        <v>1.8</v>
      </c>
      <c r="L333" s="19">
        <f t="shared" si="245"/>
        <v>45</v>
      </c>
      <c r="M333" s="32">
        <f t="shared" si="246"/>
        <v>3.6</v>
      </c>
      <c r="N333" s="11">
        <f t="shared" si="247"/>
        <v>162</v>
      </c>
      <c r="O333" s="11">
        <f t="shared" si="248"/>
        <v>2089.2959999999998</v>
      </c>
      <c r="P333" s="54"/>
      <c r="Q333" s="39"/>
      <c r="R333" s="39"/>
      <c r="U333" s="41"/>
    </row>
    <row r="334" spans="1:21" s="40" customFormat="1" ht="16.8" customHeight="1">
      <c r="A334" s="33">
        <f>IF(H334&lt;&gt;"",1+MAX($A$5:A333),"")</f>
        <v>243</v>
      </c>
      <c r="B334" s="79"/>
      <c r="C334" s="69"/>
      <c r="D334" s="27" t="s">
        <v>266</v>
      </c>
      <c r="E334" s="35">
        <v>1</v>
      </c>
      <c r="F334" s="36">
        <v>0</v>
      </c>
      <c r="G334" s="37">
        <f t="shared" si="239"/>
        <v>1</v>
      </c>
      <c r="H334" s="38" t="s">
        <v>3</v>
      </c>
      <c r="I334" s="19">
        <v>963.64799999999991</v>
      </c>
      <c r="J334" s="19">
        <f t="shared" si="244"/>
        <v>963.64799999999991</v>
      </c>
      <c r="K334" s="31">
        <v>1.8</v>
      </c>
      <c r="L334" s="19">
        <f t="shared" si="245"/>
        <v>45</v>
      </c>
      <c r="M334" s="32">
        <f t="shared" si="246"/>
        <v>1.8</v>
      </c>
      <c r="N334" s="11">
        <f t="shared" si="247"/>
        <v>81</v>
      </c>
      <c r="O334" s="11">
        <f t="shared" si="248"/>
        <v>1044.6479999999999</v>
      </c>
      <c r="P334" s="54"/>
      <c r="Q334" s="39"/>
      <c r="R334" s="39"/>
      <c r="U334" s="41"/>
    </row>
    <row r="335" spans="1:21" s="40" customFormat="1" ht="16.8" customHeight="1">
      <c r="A335" s="33">
        <f>IF(H335&lt;&gt;"",1+MAX($A$5:A334),"")</f>
        <v>244</v>
      </c>
      <c r="B335" s="79"/>
      <c r="C335" s="69"/>
      <c r="D335" s="27" t="s">
        <v>267</v>
      </c>
      <c r="E335" s="35">
        <v>2</v>
      </c>
      <c r="F335" s="36">
        <v>0</v>
      </c>
      <c r="G335" s="37">
        <f t="shared" si="239"/>
        <v>2</v>
      </c>
      <c r="H335" s="38" t="s">
        <v>3</v>
      </c>
      <c r="I335" s="19">
        <v>1230.3719999999998</v>
      </c>
      <c r="J335" s="19">
        <f t="shared" si="244"/>
        <v>2460.7439999999997</v>
      </c>
      <c r="K335" s="31">
        <v>2.0699999999999998</v>
      </c>
      <c r="L335" s="19">
        <f t="shared" si="245"/>
        <v>45</v>
      </c>
      <c r="M335" s="32">
        <f t="shared" si="246"/>
        <v>4.1399999999999997</v>
      </c>
      <c r="N335" s="11">
        <f t="shared" si="247"/>
        <v>186.29999999999998</v>
      </c>
      <c r="O335" s="11">
        <f t="shared" si="248"/>
        <v>2647.0439999999999</v>
      </c>
      <c r="P335" s="54"/>
      <c r="Q335" s="39"/>
      <c r="R335" s="39"/>
      <c r="U335" s="41"/>
    </row>
    <row r="336" spans="1:21" s="40" customFormat="1" ht="16.8" customHeight="1">
      <c r="A336" s="33">
        <f>IF(H336&lt;&gt;"",1+MAX($A$5:A335),"")</f>
        <v>245</v>
      </c>
      <c r="B336" s="79"/>
      <c r="C336" s="69"/>
      <c r="D336" s="27" t="s">
        <v>268</v>
      </c>
      <c r="E336" s="35">
        <v>3</v>
      </c>
      <c r="F336" s="36">
        <v>0</v>
      </c>
      <c r="G336" s="37">
        <f t="shared" si="239"/>
        <v>3</v>
      </c>
      <c r="H336" s="38" t="s">
        <v>3</v>
      </c>
      <c r="I336" s="19">
        <v>1634.76</v>
      </c>
      <c r="J336" s="19">
        <f t="shared" si="244"/>
        <v>4904.28</v>
      </c>
      <c r="K336" s="31">
        <v>2.8800000000000003</v>
      </c>
      <c r="L336" s="19">
        <f t="shared" si="245"/>
        <v>45</v>
      </c>
      <c r="M336" s="32">
        <f t="shared" si="246"/>
        <v>8.64</v>
      </c>
      <c r="N336" s="11">
        <f t="shared" si="247"/>
        <v>388.8</v>
      </c>
      <c r="O336" s="11">
        <f t="shared" si="248"/>
        <v>5293.08</v>
      </c>
      <c r="P336" s="54"/>
      <c r="Q336" s="39"/>
      <c r="R336" s="39"/>
      <c r="U336" s="41"/>
    </row>
    <row r="337" spans="1:21" s="40" customFormat="1" ht="16.8" customHeight="1">
      <c r="A337" s="33">
        <f>IF(H337&lt;&gt;"",1+MAX($A$5:A336),"")</f>
        <v>246</v>
      </c>
      <c r="B337" s="79"/>
      <c r="C337" s="69"/>
      <c r="D337" s="27" t="s">
        <v>269</v>
      </c>
      <c r="E337" s="35">
        <v>1</v>
      </c>
      <c r="F337" s="36">
        <v>0</v>
      </c>
      <c r="G337" s="37">
        <f t="shared" si="239"/>
        <v>1</v>
      </c>
      <c r="H337" s="38" t="s">
        <v>3</v>
      </c>
      <c r="I337" s="19">
        <v>1591.74</v>
      </c>
      <c r="J337" s="19">
        <f t="shared" si="244"/>
        <v>1591.74</v>
      </c>
      <c r="K337" s="31">
        <v>2.8800000000000003</v>
      </c>
      <c r="L337" s="19">
        <f t="shared" si="245"/>
        <v>45</v>
      </c>
      <c r="M337" s="32">
        <f t="shared" si="246"/>
        <v>2.8800000000000003</v>
      </c>
      <c r="N337" s="11">
        <f t="shared" si="247"/>
        <v>129.60000000000002</v>
      </c>
      <c r="O337" s="11">
        <f t="shared" si="248"/>
        <v>1721.3400000000001</v>
      </c>
      <c r="P337" s="54"/>
      <c r="Q337" s="39"/>
      <c r="R337" s="39"/>
      <c r="U337" s="41"/>
    </row>
    <row r="338" spans="1:21" s="40" customFormat="1" ht="16.8" customHeight="1">
      <c r="A338" s="33">
        <f>IF(H338&lt;&gt;"",1+MAX($A$5:A337),"")</f>
        <v>247</v>
      </c>
      <c r="B338" s="79"/>
      <c r="C338" s="69"/>
      <c r="D338" s="27" t="s">
        <v>270</v>
      </c>
      <c r="E338" s="35">
        <v>1</v>
      </c>
      <c r="F338" s="36">
        <v>0</v>
      </c>
      <c r="G338" s="37">
        <f t="shared" si="239"/>
        <v>1</v>
      </c>
      <c r="H338" s="38" t="s">
        <v>3</v>
      </c>
      <c r="I338" s="19">
        <v>822.54239999999993</v>
      </c>
      <c r="J338" s="19">
        <f t="shared" si="244"/>
        <v>822.54239999999993</v>
      </c>
      <c r="K338" s="31">
        <v>1.8</v>
      </c>
      <c r="L338" s="19">
        <f t="shared" si="245"/>
        <v>45</v>
      </c>
      <c r="M338" s="32">
        <f t="shared" si="246"/>
        <v>1.8</v>
      </c>
      <c r="N338" s="11">
        <f t="shared" si="247"/>
        <v>81</v>
      </c>
      <c r="O338" s="11">
        <f t="shared" si="248"/>
        <v>903.54239999999993</v>
      </c>
      <c r="P338" s="54"/>
      <c r="Q338" s="39"/>
      <c r="R338" s="39"/>
      <c r="U338" s="41"/>
    </row>
    <row r="339" spans="1:21" s="40" customFormat="1" ht="16.8" customHeight="1">
      <c r="A339" s="33">
        <f>IF(H339&lt;&gt;"",1+MAX($A$5:A338),"")</f>
        <v>248</v>
      </c>
      <c r="B339" s="79"/>
      <c r="C339" s="69"/>
      <c r="D339" s="27" t="s">
        <v>271</v>
      </c>
      <c r="E339" s="35">
        <v>1</v>
      </c>
      <c r="F339" s="36">
        <v>0</v>
      </c>
      <c r="G339" s="37">
        <f t="shared" si="239"/>
        <v>1</v>
      </c>
      <c r="H339" s="38" t="s">
        <v>3</v>
      </c>
      <c r="I339" s="19">
        <v>822.54239999999993</v>
      </c>
      <c r="J339" s="19">
        <f t="shared" si="244"/>
        <v>822.54239999999993</v>
      </c>
      <c r="K339" s="31">
        <v>1.8</v>
      </c>
      <c r="L339" s="19">
        <f t="shared" si="245"/>
        <v>45</v>
      </c>
      <c r="M339" s="32">
        <f t="shared" si="246"/>
        <v>1.8</v>
      </c>
      <c r="N339" s="11">
        <f t="shared" si="247"/>
        <v>81</v>
      </c>
      <c r="O339" s="11">
        <f t="shared" si="248"/>
        <v>903.54239999999993</v>
      </c>
      <c r="P339" s="54"/>
      <c r="Q339" s="39"/>
      <c r="R339" s="39"/>
      <c r="U339" s="41"/>
    </row>
    <row r="340" spans="1:21" s="40" customFormat="1" ht="16.8" customHeight="1">
      <c r="A340" s="33">
        <f>IF(H340&lt;&gt;"",1+MAX($A$5:A339),"")</f>
        <v>249</v>
      </c>
      <c r="B340" s="79"/>
      <c r="C340" s="69"/>
      <c r="D340" s="27" t="s">
        <v>272</v>
      </c>
      <c r="E340" s="35">
        <v>1</v>
      </c>
      <c r="F340" s="36">
        <v>0</v>
      </c>
      <c r="G340" s="37">
        <f t="shared" si="239"/>
        <v>1</v>
      </c>
      <c r="H340" s="38" t="s">
        <v>3</v>
      </c>
      <c r="I340" s="19">
        <v>894.81599999999992</v>
      </c>
      <c r="J340" s="19">
        <f t="shared" si="244"/>
        <v>894.81599999999992</v>
      </c>
      <c r="K340" s="31">
        <v>1.8</v>
      </c>
      <c r="L340" s="19">
        <f t="shared" si="245"/>
        <v>45</v>
      </c>
      <c r="M340" s="32">
        <f t="shared" si="246"/>
        <v>1.8</v>
      </c>
      <c r="N340" s="11">
        <f t="shared" si="247"/>
        <v>81</v>
      </c>
      <c r="O340" s="11">
        <f t="shared" si="248"/>
        <v>975.81599999999992</v>
      </c>
      <c r="P340" s="54"/>
      <c r="Q340" s="39"/>
      <c r="R340" s="39"/>
      <c r="U340" s="41"/>
    </row>
    <row r="341" spans="1:21" s="40" customFormat="1" ht="16.8" customHeight="1">
      <c r="A341" s="33">
        <f>IF(H341&lt;&gt;"",1+MAX($A$5:A340),"")</f>
        <v>250</v>
      </c>
      <c r="B341" s="79"/>
      <c r="C341" s="69"/>
      <c r="D341" s="27" t="s">
        <v>273</v>
      </c>
      <c r="E341" s="35">
        <v>6</v>
      </c>
      <c r="F341" s="36">
        <v>0</v>
      </c>
      <c r="G341" s="37">
        <f t="shared" si="239"/>
        <v>6</v>
      </c>
      <c r="H341" s="38" t="s">
        <v>3</v>
      </c>
      <c r="I341" s="19">
        <v>963.64799999999991</v>
      </c>
      <c r="J341" s="19">
        <f t="shared" si="244"/>
        <v>5781.887999999999</v>
      </c>
      <c r="K341" s="31">
        <v>1.8</v>
      </c>
      <c r="L341" s="19">
        <f t="shared" si="245"/>
        <v>45</v>
      </c>
      <c r="M341" s="32">
        <f t="shared" si="246"/>
        <v>10.8</v>
      </c>
      <c r="N341" s="11">
        <f t="shared" si="247"/>
        <v>486.00000000000006</v>
      </c>
      <c r="O341" s="11">
        <f t="shared" si="248"/>
        <v>6267.887999999999</v>
      </c>
      <c r="P341" s="54"/>
      <c r="Q341" s="39"/>
      <c r="R341" s="39"/>
      <c r="U341" s="41"/>
    </row>
    <row r="342" spans="1:21" s="40" customFormat="1" ht="16.8" customHeight="1">
      <c r="A342" s="33">
        <f>IF(H342&lt;&gt;"",1+MAX($A$5:A341),"")</f>
        <v>251</v>
      </c>
      <c r="B342" s="79"/>
      <c r="C342" s="69"/>
      <c r="D342" s="27" t="s">
        <v>273</v>
      </c>
      <c r="E342" s="35">
        <v>3</v>
      </c>
      <c r="F342" s="36">
        <v>0</v>
      </c>
      <c r="G342" s="37">
        <f t="shared" si="239"/>
        <v>3</v>
      </c>
      <c r="H342" s="38" t="s">
        <v>3</v>
      </c>
      <c r="I342" s="19">
        <v>963.64799999999991</v>
      </c>
      <c r="J342" s="19">
        <f t="shared" si="244"/>
        <v>2890.9439999999995</v>
      </c>
      <c r="K342" s="31">
        <v>1.8</v>
      </c>
      <c r="L342" s="19">
        <f t="shared" si="245"/>
        <v>45</v>
      </c>
      <c r="M342" s="32">
        <f t="shared" si="246"/>
        <v>5.4</v>
      </c>
      <c r="N342" s="11">
        <f t="shared" si="247"/>
        <v>243.00000000000003</v>
      </c>
      <c r="O342" s="11">
        <f t="shared" si="248"/>
        <v>3133.9439999999995</v>
      </c>
      <c r="P342" s="54"/>
      <c r="Q342" s="39"/>
      <c r="R342" s="39"/>
      <c r="U342" s="41"/>
    </row>
    <row r="343" spans="1:21" s="40" customFormat="1" ht="16.8" customHeight="1">
      <c r="A343" s="33">
        <f>IF(H343&lt;&gt;"",1+MAX($A$5:A342),"")</f>
        <v>252</v>
      </c>
      <c r="B343" s="79"/>
      <c r="C343" s="69"/>
      <c r="D343" s="27" t="s">
        <v>274</v>
      </c>
      <c r="E343" s="35">
        <v>2</v>
      </c>
      <c r="F343" s="36">
        <v>0</v>
      </c>
      <c r="G343" s="37">
        <f t="shared" si="239"/>
        <v>2</v>
      </c>
      <c r="H343" s="38" t="s">
        <v>3</v>
      </c>
      <c r="I343" s="19">
        <v>963.64799999999991</v>
      </c>
      <c r="J343" s="19">
        <f t="shared" si="244"/>
        <v>1927.2959999999998</v>
      </c>
      <c r="K343" s="31">
        <v>1.8</v>
      </c>
      <c r="L343" s="19">
        <f t="shared" si="245"/>
        <v>45</v>
      </c>
      <c r="M343" s="32">
        <f t="shared" si="246"/>
        <v>3.6</v>
      </c>
      <c r="N343" s="11">
        <f t="shared" si="247"/>
        <v>162</v>
      </c>
      <c r="O343" s="11">
        <f t="shared" si="248"/>
        <v>2089.2959999999998</v>
      </c>
      <c r="P343" s="54"/>
      <c r="Q343" s="39"/>
      <c r="R343" s="39"/>
      <c r="U343" s="41"/>
    </row>
    <row r="344" spans="1:21" s="40" customFormat="1" ht="16.8" customHeight="1">
      <c r="A344" s="33">
        <f>IF(H344&lt;&gt;"",1+MAX($A$5:A343),"")</f>
        <v>253</v>
      </c>
      <c r="B344" s="79"/>
      <c r="C344" s="69"/>
      <c r="D344" s="27" t="s">
        <v>275</v>
      </c>
      <c r="E344" s="35">
        <v>2</v>
      </c>
      <c r="F344" s="36">
        <v>0</v>
      </c>
      <c r="G344" s="37">
        <f t="shared" si="239"/>
        <v>2</v>
      </c>
      <c r="H344" s="38" t="s">
        <v>3</v>
      </c>
      <c r="I344" s="19">
        <v>963.64799999999991</v>
      </c>
      <c r="J344" s="19">
        <f t="shared" si="244"/>
        <v>1927.2959999999998</v>
      </c>
      <c r="K344" s="31">
        <v>1.8</v>
      </c>
      <c r="L344" s="19">
        <f t="shared" si="245"/>
        <v>45</v>
      </c>
      <c r="M344" s="32">
        <f t="shared" si="246"/>
        <v>3.6</v>
      </c>
      <c r="N344" s="11">
        <f t="shared" si="247"/>
        <v>162</v>
      </c>
      <c r="O344" s="11">
        <f t="shared" si="248"/>
        <v>2089.2959999999998</v>
      </c>
      <c r="P344" s="54"/>
      <c r="Q344" s="39"/>
      <c r="R344" s="39"/>
      <c r="U344" s="41"/>
    </row>
    <row r="345" spans="1:21" s="40" customFormat="1" ht="16.8" customHeight="1">
      <c r="A345" s="33">
        <f>IF(H345&lt;&gt;"",1+MAX($A$5:A344),"")</f>
        <v>254</v>
      </c>
      <c r="B345" s="79"/>
      <c r="C345" s="69"/>
      <c r="D345" s="27" t="s">
        <v>275</v>
      </c>
      <c r="E345" s="35">
        <v>1</v>
      </c>
      <c r="F345" s="36">
        <v>0</v>
      </c>
      <c r="G345" s="37">
        <f t="shared" si="239"/>
        <v>1</v>
      </c>
      <c r="H345" s="38" t="s">
        <v>3</v>
      </c>
      <c r="I345" s="19">
        <v>963.64799999999991</v>
      </c>
      <c r="J345" s="19">
        <f t="shared" si="244"/>
        <v>963.64799999999991</v>
      </c>
      <c r="K345" s="31">
        <v>1.8</v>
      </c>
      <c r="L345" s="19">
        <f t="shared" si="245"/>
        <v>45</v>
      </c>
      <c r="M345" s="32">
        <f t="shared" si="246"/>
        <v>1.8</v>
      </c>
      <c r="N345" s="11">
        <f t="shared" si="247"/>
        <v>81</v>
      </c>
      <c r="O345" s="11">
        <f t="shared" si="248"/>
        <v>1044.6479999999999</v>
      </c>
      <c r="P345" s="54"/>
      <c r="Q345" s="39"/>
      <c r="R345" s="39"/>
      <c r="U345" s="41"/>
    </row>
    <row r="346" spans="1:21" s="40" customFormat="1" ht="16.8" customHeight="1">
      <c r="A346" s="33">
        <f>IF(H346&lt;&gt;"",1+MAX($A$5:A345),"")</f>
        <v>255</v>
      </c>
      <c r="B346" s="79"/>
      <c r="C346" s="69"/>
      <c r="D346" s="27" t="s">
        <v>275</v>
      </c>
      <c r="E346" s="35">
        <v>1</v>
      </c>
      <c r="F346" s="36">
        <v>0</v>
      </c>
      <c r="G346" s="37">
        <f t="shared" si="239"/>
        <v>1</v>
      </c>
      <c r="H346" s="38" t="s">
        <v>3</v>
      </c>
      <c r="I346" s="19">
        <v>963.64799999999991</v>
      </c>
      <c r="J346" s="19">
        <f t="shared" si="244"/>
        <v>963.64799999999991</v>
      </c>
      <c r="K346" s="31">
        <v>1.8</v>
      </c>
      <c r="L346" s="19">
        <f t="shared" si="245"/>
        <v>45</v>
      </c>
      <c r="M346" s="32">
        <f t="shared" si="246"/>
        <v>1.8</v>
      </c>
      <c r="N346" s="11">
        <f t="shared" si="247"/>
        <v>81</v>
      </c>
      <c r="O346" s="11">
        <f t="shared" si="248"/>
        <v>1044.6479999999999</v>
      </c>
      <c r="P346" s="54"/>
      <c r="Q346" s="39"/>
      <c r="R346" s="39"/>
      <c r="U346" s="41"/>
    </row>
    <row r="347" spans="1:21" s="40" customFormat="1" ht="16.8" customHeight="1">
      <c r="A347" s="33">
        <f>IF(H347&lt;&gt;"",1+MAX($A$5:A346),"")</f>
        <v>256</v>
      </c>
      <c r="B347" s="79"/>
      <c r="C347" s="69"/>
      <c r="D347" s="27" t="s">
        <v>276</v>
      </c>
      <c r="E347" s="35">
        <v>2</v>
      </c>
      <c r="F347" s="36">
        <v>0</v>
      </c>
      <c r="G347" s="37">
        <f t="shared" si="239"/>
        <v>2</v>
      </c>
      <c r="H347" s="38" t="s">
        <v>3</v>
      </c>
      <c r="I347" s="19">
        <v>963.64799999999991</v>
      </c>
      <c r="J347" s="19">
        <f t="shared" si="244"/>
        <v>1927.2959999999998</v>
      </c>
      <c r="K347" s="31">
        <v>1.8</v>
      </c>
      <c r="L347" s="19">
        <f t="shared" si="245"/>
        <v>45</v>
      </c>
      <c r="M347" s="32">
        <f t="shared" si="246"/>
        <v>3.6</v>
      </c>
      <c r="N347" s="11">
        <f t="shared" si="247"/>
        <v>162</v>
      </c>
      <c r="O347" s="11">
        <f t="shared" si="248"/>
        <v>2089.2959999999998</v>
      </c>
      <c r="P347" s="54"/>
      <c r="Q347" s="39"/>
      <c r="R347" s="39"/>
      <c r="U347" s="41"/>
    </row>
    <row r="348" spans="1:21" s="40" customFormat="1" ht="16.8" customHeight="1">
      <c r="A348" s="33">
        <f>IF(H348&lt;&gt;"",1+MAX($A$5:A347),"")</f>
        <v>257</v>
      </c>
      <c r="B348" s="79"/>
      <c r="C348" s="69"/>
      <c r="D348" s="27" t="s">
        <v>277</v>
      </c>
      <c r="E348" s="35">
        <v>1</v>
      </c>
      <c r="F348" s="36">
        <v>0</v>
      </c>
      <c r="G348" s="37">
        <f t="shared" si="239"/>
        <v>1</v>
      </c>
      <c r="H348" s="38" t="s">
        <v>3</v>
      </c>
      <c r="I348" s="19">
        <v>963.64799999999991</v>
      </c>
      <c r="J348" s="19">
        <f t="shared" si="244"/>
        <v>963.64799999999991</v>
      </c>
      <c r="K348" s="31">
        <v>1.8</v>
      </c>
      <c r="L348" s="19">
        <f t="shared" si="245"/>
        <v>45</v>
      </c>
      <c r="M348" s="32">
        <f t="shared" si="246"/>
        <v>1.8</v>
      </c>
      <c r="N348" s="11">
        <f t="shared" si="247"/>
        <v>81</v>
      </c>
      <c r="O348" s="11">
        <f t="shared" si="248"/>
        <v>1044.6479999999999</v>
      </c>
      <c r="P348" s="54"/>
      <c r="Q348" s="39"/>
      <c r="R348" s="39"/>
      <c r="U348" s="41"/>
    </row>
    <row r="349" spans="1:21" s="40" customFormat="1" ht="16.8" customHeight="1">
      <c r="A349" s="33">
        <f>IF(H349&lt;&gt;"",1+MAX($A$5:A348),"")</f>
        <v>258</v>
      </c>
      <c r="B349" s="79"/>
      <c r="C349" s="69"/>
      <c r="D349" s="27" t="s">
        <v>278</v>
      </c>
      <c r="E349" s="35">
        <v>10</v>
      </c>
      <c r="F349" s="36">
        <v>0</v>
      </c>
      <c r="G349" s="37">
        <f t="shared" si="239"/>
        <v>10</v>
      </c>
      <c r="H349" s="38" t="s">
        <v>3</v>
      </c>
      <c r="I349" s="19">
        <v>344.15999999999997</v>
      </c>
      <c r="J349" s="19">
        <f t="shared" si="244"/>
        <v>3441.5999999999995</v>
      </c>
      <c r="K349" s="31">
        <v>1.26</v>
      </c>
      <c r="L349" s="19">
        <f t="shared" si="245"/>
        <v>45</v>
      </c>
      <c r="M349" s="32">
        <f t="shared" si="246"/>
        <v>12.6</v>
      </c>
      <c r="N349" s="11">
        <f t="shared" si="247"/>
        <v>567</v>
      </c>
      <c r="O349" s="11">
        <f t="shared" si="248"/>
        <v>4008.5999999999995</v>
      </c>
      <c r="P349" s="54"/>
      <c r="Q349" s="39"/>
      <c r="R349" s="39"/>
      <c r="U349" s="41"/>
    </row>
    <row r="350" spans="1:21" s="40" customFormat="1" ht="16.8" customHeight="1">
      <c r="A350" s="33">
        <f>IF(H350&lt;&gt;"",1+MAX($A$5:A349),"")</f>
        <v>259</v>
      </c>
      <c r="B350" s="79"/>
      <c r="C350" s="69"/>
      <c r="D350" s="27" t="s">
        <v>279</v>
      </c>
      <c r="E350" s="35">
        <v>5</v>
      </c>
      <c r="F350" s="36">
        <v>0</v>
      </c>
      <c r="G350" s="37">
        <f t="shared" si="239"/>
        <v>5</v>
      </c>
      <c r="H350" s="38" t="s">
        <v>3</v>
      </c>
      <c r="I350" s="19">
        <v>722.73599999999999</v>
      </c>
      <c r="J350" s="19">
        <f t="shared" si="244"/>
        <v>3613.68</v>
      </c>
      <c r="K350" s="31">
        <v>1.26</v>
      </c>
      <c r="L350" s="19">
        <f t="shared" si="245"/>
        <v>45</v>
      </c>
      <c r="M350" s="32">
        <f t="shared" si="246"/>
        <v>6.3</v>
      </c>
      <c r="N350" s="11">
        <f t="shared" si="247"/>
        <v>283.5</v>
      </c>
      <c r="O350" s="11">
        <f t="shared" si="248"/>
        <v>3897.18</v>
      </c>
      <c r="P350" s="54"/>
      <c r="Q350" s="39"/>
      <c r="R350" s="39"/>
      <c r="U350" s="41"/>
    </row>
    <row r="351" spans="1:21" s="40" customFormat="1" ht="16.8" customHeight="1">
      <c r="A351" s="33">
        <f>IF(H351&lt;&gt;"",1+MAX($A$5:A350),"")</f>
        <v>260</v>
      </c>
      <c r="B351" s="79"/>
      <c r="C351" s="69"/>
      <c r="D351" s="27" t="s">
        <v>280</v>
      </c>
      <c r="E351" s="35">
        <v>14</v>
      </c>
      <c r="F351" s="36">
        <v>0</v>
      </c>
      <c r="G351" s="37">
        <f t="shared" si="239"/>
        <v>14</v>
      </c>
      <c r="H351" s="38" t="s">
        <v>3</v>
      </c>
      <c r="I351" s="19">
        <v>378.57599999999996</v>
      </c>
      <c r="J351" s="19">
        <f t="shared" si="244"/>
        <v>5300.0639999999994</v>
      </c>
      <c r="K351" s="31">
        <v>1.26</v>
      </c>
      <c r="L351" s="19">
        <f t="shared" si="245"/>
        <v>45</v>
      </c>
      <c r="M351" s="32">
        <f t="shared" si="246"/>
        <v>17.64</v>
      </c>
      <c r="N351" s="11">
        <f t="shared" si="247"/>
        <v>793.80000000000007</v>
      </c>
      <c r="O351" s="11">
        <f t="shared" si="248"/>
        <v>6093.8639999999996</v>
      </c>
      <c r="P351" s="54"/>
      <c r="Q351" s="39"/>
      <c r="R351" s="39"/>
      <c r="U351" s="41"/>
    </row>
    <row r="352" spans="1:21" s="40" customFormat="1" ht="16.8" customHeight="1">
      <c r="A352" s="33">
        <f>IF(H352&lt;&gt;"",1+MAX($A$5:A351),"")</f>
        <v>261</v>
      </c>
      <c r="B352" s="79"/>
      <c r="C352" s="69"/>
      <c r="D352" s="27" t="s">
        <v>281</v>
      </c>
      <c r="E352" s="35">
        <v>2</v>
      </c>
      <c r="F352" s="36">
        <v>0</v>
      </c>
      <c r="G352" s="37">
        <f t="shared" si="239"/>
        <v>2</v>
      </c>
      <c r="H352" s="38" t="s">
        <v>3</v>
      </c>
      <c r="I352" s="19">
        <v>722.73599999999999</v>
      </c>
      <c r="J352" s="19">
        <f t="shared" si="244"/>
        <v>1445.472</v>
      </c>
      <c r="K352" s="31">
        <v>1.26</v>
      </c>
      <c r="L352" s="19">
        <f t="shared" si="245"/>
        <v>45</v>
      </c>
      <c r="M352" s="32">
        <f t="shared" si="246"/>
        <v>2.52</v>
      </c>
      <c r="N352" s="11">
        <f t="shared" si="247"/>
        <v>113.4</v>
      </c>
      <c r="O352" s="11">
        <f t="shared" si="248"/>
        <v>1558.8720000000001</v>
      </c>
      <c r="P352" s="54"/>
      <c r="Q352" s="39"/>
      <c r="R352" s="39"/>
      <c r="U352" s="41"/>
    </row>
    <row r="353" spans="1:21" s="40" customFormat="1" ht="16.8" customHeight="1">
      <c r="A353" s="33" t="str">
        <f>IF(H353&lt;&gt;"",1+MAX($A$5:A352),"")</f>
        <v/>
      </c>
      <c r="B353" s="79"/>
      <c r="C353" s="69"/>
      <c r="D353" s="27" t="s">
        <v>96</v>
      </c>
      <c r="E353" s="35"/>
      <c r="F353" s="36"/>
      <c r="G353" s="37"/>
      <c r="H353" s="38"/>
      <c r="I353" s="19"/>
      <c r="J353" s="19"/>
      <c r="K353" s="31"/>
      <c r="L353" s="19"/>
      <c r="M353" s="32"/>
      <c r="N353" s="11"/>
      <c r="O353" s="11"/>
      <c r="P353" s="54"/>
      <c r="Q353" s="39"/>
      <c r="R353" s="39"/>
      <c r="U353" s="41"/>
    </row>
    <row r="354" spans="1:21" s="40" customFormat="1" ht="16.8" customHeight="1">
      <c r="A354" s="33" t="str">
        <f>IF(H354&lt;&gt;"",1+MAX($A$5:A353),"")</f>
        <v/>
      </c>
      <c r="B354" s="79"/>
      <c r="C354" s="69"/>
      <c r="D354" s="114" t="s">
        <v>282</v>
      </c>
      <c r="E354" s="35"/>
      <c r="F354" s="36"/>
      <c r="G354" s="37"/>
      <c r="H354" s="38"/>
      <c r="I354" s="19"/>
      <c r="J354" s="19"/>
      <c r="K354" s="31"/>
      <c r="L354" s="19"/>
      <c r="M354" s="32"/>
      <c r="N354" s="11"/>
      <c r="O354" s="11"/>
      <c r="P354" s="54"/>
      <c r="Q354" s="39"/>
      <c r="R354" s="39"/>
      <c r="U354" s="41"/>
    </row>
    <row r="355" spans="1:21" s="40" customFormat="1" ht="16.8" customHeight="1">
      <c r="A355" s="33">
        <f>IF(H355&lt;&gt;"",1+MAX($A$5:A354),"")</f>
        <v>262</v>
      </c>
      <c r="B355" s="79"/>
      <c r="C355" s="69"/>
      <c r="D355" s="95" t="s">
        <v>283</v>
      </c>
      <c r="E355" s="35">
        <v>9</v>
      </c>
      <c r="F355" s="36">
        <v>0</v>
      </c>
      <c r="G355" s="37">
        <f t="shared" ref="G355:G361" si="249">(1+F355)*E355</f>
        <v>9</v>
      </c>
      <c r="H355" s="38" t="s">
        <v>3</v>
      </c>
      <c r="I355" s="19">
        <v>22.943999999999999</v>
      </c>
      <c r="J355" s="19">
        <f t="shared" ref="J355:J360" si="250">I355*G355</f>
        <v>206.49599999999998</v>
      </c>
      <c r="K355" s="31">
        <v>0.5</v>
      </c>
      <c r="L355" s="19">
        <f t="shared" ref="L355:L361" si="251">$O$327</f>
        <v>45</v>
      </c>
      <c r="M355" s="32">
        <f t="shared" ref="M355:M361" si="252">K355*G355</f>
        <v>4.5</v>
      </c>
      <c r="N355" s="11">
        <f t="shared" ref="N355:N361" si="253">M355*L355</f>
        <v>202.5</v>
      </c>
      <c r="O355" s="11">
        <f t="shared" ref="O355:O361" si="254">N355+J355</f>
        <v>408.99599999999998</v>
      </c>
      <c r="P355" s="54"/>
      <c r="Q355" s="39"/>
      <c r="R355" s="39"/>
      <c r="U355" s="41"/>
    </row>
    <row r="356" spans="1:21" s="40" customFormat="1" ht="16.8" customHeight="1">
      <c r="A356" s="33">
        <f>IF(H356&lt;&gt;"",1+MAX($A$5:A355),"")</f>
        <v>263</v>
      </c>
      <c r="B356" s="79"/>
      <c r="C356" s="69"/>
      <c r="D356" s="95" t="s">
        <v>284</v>
      </c>
      <c r="E356" s="35">
        <v>2</v>
      </c>
      <c r="F356" s="36">
        <v>0</v>
      </c>
      <c r="G356" s="37">
        <f t="shared" si="249"/>
        <v>2</v>
      </c>
      <c r="H356" s="38" t="s">
        <v>3</v>
      </c>
      <c r="I356" s="19">
        <v>108.02799999999999</v>
      </c>
      <c r="J356" s="19">
        <f t="shared" si="250"/>
        <v>216.05599999999998</v>
      </c>
      <c r="K356" s="31">
        <v>1.2</v>
      </c>
      <c r="L356" s="19">
        <f t="shared" si="251"/>
        <v>45</v>
      </c>
      <c r="M356" s="32">
        <f t="shared" si="252"/>
        <v>2.4</v>
      </c>
      <c r="N356" s="11">
        <f t="shared" si="253"/>
        <v>108</v>
      </c>
      <c r="O356" s="11">
        <f t="shared" si="254"/>
        <v>324.05599999999998</v>
      </c>
      <c r="P356" s="54"/>
      <c r="Q356" s="39"/>
      <c r="R356" s="39"/>
      <c r="U356" s="41"/>
    </row>
    <row r="357" spans="1:21" s="40" customFormat="1" ht="16.8" customHeight="1">
      <c r="A357" s="33">
        <f>IF(H357&lt;&gt;"",1+MAX($A$5:A356),"")</f>
        <v>264</v>
      </c>
      <c r="B357" s="79"/>
      <c r="C357" s="69"/>
      <c r="D357" s="95" t="s">
        <v>285</v>
      </c>
      <c r="E357" s="35">
        <v>9</v>
      </c>
      <c r="F357" s="36">
        <v>0</v>
      </c>
      <c r="G357" s="37">
        <f t="shared" si="249"/>
        <v>9</v>
      </c>
      <c r="H357" s="38" t="s">
        <v>3</v>
      </c>
      <c r="I357" s="19">
        <v>34.415999999999997</v>
      </c>
      <c r="J357" s="19">
        <f t="shared" si="250"/>
        <v>309.74399999999997</v>
      </c>
      <c r="K357" s="31">
        <v>0.45</v>
      </c>
      <c r="L357" s="19">
        <f t="shared" si="251"/>
        <v>45</v>
      </c>
      <c r="M357" s="32">
        <f t="shared" si="252"/>
        <v>4.05</v>
      </c>
      <c r="N357" s="11">
        <f t="shared" si="253"/>
        <v>182.25</v>
      </c>
      <c r="O357" s="11">
        <f t="shared" si="254"/>
        <v>491.99399999999997</v>
      </c>
      <c r="P357" s="54"/>
      <c r="Q357" s="39"/>
      <c r="R357" s="39"/>
      <c r="U357" s="41"/>
    </row>
    <row r="358" spans="1:21" s="40" customFormat="1" ht="16.8" customHeight="1">
      <c r="A358" s="33">
        <f>IF(H358&lt;&gt;"",1+MAX($A$5:A357),"")</f>
        <v>265</v>
      </c>
      <c r="B358" s="79"/>
      <c r="C358" s="69"/>
      <c r="D358" s="95" t="s">
        <v>286</v>
      </c>
      <c r="E358" s="35">
        <v>13</v>
      </c>
      <c r="F358" s="36">
        <v>0</v>
      </c>
      <c r="G358" s="37">
        <f t="shared" si="249"/>
        <v>13</v>
      </c>
      <c r="H358" s="38" t="s">
        <v>3</v>
      </c>
      <c r="I358" s="19">
        <v>53.536000000000001</v>
      </c>
      <c r="J358" s="19">
        <f t="shared" si="250"/>
        <v>695.96800000000007</v>
      </c>
      <c r="K358" s="31">
        <v>0.67</v>
      </c>
      <c r="L358" s="19">
        <f t="shared" si="251"/>
        <v>45</v>
      </c>
      <c r="M358" s="32">
        <f t="shared" si="252"/>
        <v>8.7100000000000009</v>
      </c>
      <c r="N358" s="11">
        <f t="shared" si="253"/>
        <v>391.95000000000005</v>
      </c>
      <c r="O358" s="11">
        <f t="shared" si="254"/>
        <v>1087.9180000000001</v>
      </c>
      <c r="P358" s="54"/>
      <c r="Q358" s="39"/>
      <c r="R358" s="39"/>
      <c r="U358" s="41"/>
    </row>
    <row r="359" spans="1:21" s="40" customFormat="1" ht="16.8" customHeight="1">
      <c r="A359" s="33">
        <f>IF(H359&lt;&gt;"",1+MAX($A$5:A358),"")</f>
        <v>266</v>
      </c>
      <c r="B359" s="79"/>
      <c r="C359" s="69"/>
      <c r="D359" s="95" t="s">
        <v>287</v>
      </c>
      <c r="E359" s="35">
        <v>1</v>
      </c>
      <c r="F359" s="36">
        <v>0</v>
      </c>
      <c r="G359" s="37">
        <f t="shared" si="249"/>
        <v>1</v>
      </c>
      <c r="H359" s="38" t="s">
        <v>3</v>
      </c>
      <c r="I359" s="19">
        <v>78.391999999999996</v>
      </c>
      <c r="J359" s="19">
        <f t="shared" si="250"/>
        <v>78.391999999999996</v>
      </c>
      <c r="K359" s="31">
        <v>0.67</v>
      </c>
      <c r="L359" s="19">
        <f t="shared" si="251"/>
        <v>45</v>
      </c>
      <c r="M359" s="32">
        <f t="shared" si="252"/>
        <v>0.67</v>
      </c>
      <c r="N359" s="11">
        <f t="shared" si="253"/>
        <v>30.150000000000002</v>
      </c>
      <c r="O359" s="11">
        <f t="shared" si="254"/>
        <v>108.542</v>
      </c>
      <c r="P359" s="54"/>
      <c r="Q359" s="39"/>
      <c r="R359" s="39"/>
      <c r="U359" s="41"/>
    </row>
    <row r="360" spans="1:21" s="40" customFormat="1" ht="16.8" customHeight="1">
      <c r="A360" s="33">
        <f>IF(H360&lt;&gt;"",1+MAX($A$5:A359),"")</f>
        <v>267</v>
      </c>
      <c r="B360" s="79"/>
      <c r="C360" s="69"/>
      <c r="D360" s="95" t="s">
        <v>288</v>
      </c>
      <c r="E360" s="35">
        <v>1</v>
      </c>
      <c r="F360" s="36">
        <v>0</v>
      </c>
      <c r="G360" s="37">
        <f t="shared" si="249"/>
        <v>1</v>
      </c>
      <c r="H360" s="38" t="s">
        <v>3</v>
      </c>
      <c r="I360" s="19">
        <v>40.152000000000001</v>
      </c>
      <c r="J360" s="19">
        <f t="shared" si="250"/>
        <v>40.152000000000001</v>
      </c>
      <c r="K360" s="31">
        <v>0.2</v>
      </c>
      <c r="L360" s="19">
        <f t="shared" si="251"/>
        <v>45</v>
      </c>
      <c r="M360" s="32">
        <f t="shared" si="252"/>
        <v>0.2</v>
      </c>
      <c r="N360" s="11">
        <f t="shared" si="253"/>
        <v>9</v>
      </c>
      <c r="O360" s="11">
        <f t="shared" si="254"/>
        <v>49.152000000000001</v>
      </c>
      <c r="P360" s="54"/>
      <c r="Q360" s="39"/>
      <c r="R360" s="39"/>
      <c r="U360" s="41"/>
    </row>
    <row r="361" spans="1:21" s="40" customFormat="1" ht="16.8" customHeight="1">
      <c r="A361" s="33">
        <f>IF(H361&lt;&gt;"",1+MAX($A$5:A360),"")</f>
        <v>268</v>
      </c>
      <c r="B361" s="79"/>
      <c r="C361" s="69"/>
      <c r="D361" s="95" t="s">
        <v>289</v>
      </c>
      <c r="E361" s="35">
        <v>1</v>
      </c>
      <c r="F361" s="36">
        <v>0</v>
      </c>
      <c r="G361" s="37">
        <f t="shared" si="249"/>
        <v>1</v>
      </c>
      <c r="H361" s="38" t="s">
        <v>3</v>
      </c>
      <c r="I361" s="19">
        <v>53.536000000000001</v>
      </c>
      <c r="J361" s="19">
        <f t="shared" ref="J361" si="255">I361*G361</f>
        <v>53.536000000000001</v>
      </c>
      <c r="K361" s="31">
        <v>0.67</v>
      </c>
      <c r="L361" s="19">
        <f t="shared" si="251"/>
        <v>45</v>
      </c>
      <c r="M361" s="32">
        <f t="shared" si="252"/>
        <v>0.67</v>
      </c>
      <c r="N361" s="11">
        <f t="shared" si="253"/>
        <v>30.150000000000002</v>
      </c>
      <c r="O361" s="11">
        <f t="shared" si="254"/>
        <v>83.686000000000007</v>
      </c>
      <c r="P361" s="54"/>
      <c r="Q361" s="39"/>
      <c r="R361" s="39"/>
      <c r="U361" s="41"/>
    </row>
    <row r="362" spans="1:21" s="40" customFormat="1" ht="16.8" customHeight="1">
      <c r="A362" s="33" t="str">
        <f>IF(H362&lt;&gt;"",1+MAX($A$5:A361),"")</f>
        <v/>
      </c>
      <c r="B362" s="79"/>
      <c r="C362" s="69"/>
      <c r="D362" s="27" t="s">
        <v>96</v>
      </c>
      <c r="E362" s="35"/>
      <c r="F362" s="36"/>
      <c r="G362" s="37"/>
      <c r="H362" s="38"/>
      <c r="I362" s="19"/>
      <c r="J362" s="19"/>
      <c r="K362" s="31"/>
      <c r="L362" s="19"/>
      <c r="M362" s="32"/>
      <c r="N362" s="11"/>
      <c r="O362" s="11"/>
      <c r="P362" s="54"/>
      <c r="Q362" s="39"/>
      <c r="R362" s="39"/>
      <c r="U362" s="41"/>
    </row>
    <row r="363" spans="1:21" s="40" customFormat="1" ht="16.8" customHeight="1">
      <c r="A363" s="33" t="str">
        <f>IF(H363&lt;&gt;"",1+MAX($A$5:A362),"")</f>
        <v/>
      </c>
      <c r="B363" s="79"/>
      <c r="C363" s="69"/>
      <c r="D363" s="114" t="s">
        <v>290</v>
      </c>
      <c r="E363" s="35"/>
      <c r="F363" s="36"/>
      <c r="G363" s="37"/>
      <c r="H363" s="38"/>
      <c r="I363" s="19"/>
      <c r="J363" s="19"/>
      <c r="K363" s="31"/>
      <c r="L363" s="19"/>
      <c r="M363" s="32"/>
      <c r="N363" s="11"/>
      <c r="O363" s="11"/>
      <c r="P363" s="54"/>
      <c r="Q363" s="39"/>
      <c r="R363" s="39"/>
      <c r="U363" s="41"/>
    </row>
    <row r="364" spans="1:21" s="40" customFormat="1" ht="16.8" customHeight="1">
      <c r="A364" s="33">
        <f>IF(H364&lt;&gt;"",1+MAX($A$5:A363),"")</f>
        <v>269</v>
      </c>
      <c r="B364" s="79"/>
      <c r="C364" s="69"/>
      <c r="D364" s="27" t="s">
        <v>291</v>
      </c>
      <c r="E364" s="35">
        <v>1</v>
      </c>
      <c r="F364" s="36">
        <v>0</v>
      </c>
      <c r="G364" s="37">
        <f t="shared" ref="G364:G376" si="256">(1+F364)*E364</f>
        <v>1</v>
      </c>
      <c r="H364" s="38" t="s">
        <v>3</v>
      </c>
      <c r="I364" s="19">
        <v>410.68803999999994</v>
      </c>
      <c r="J364" s="19">
        <f t="shared" ref="J364:J376" si="257">I364*G364</f>
        <v>410.68803999999994</v>
      </c>
      <c r="K364" s="31">
        <v>1</v>
      </c>
      <c r="L364" s="19">
        <f t="shared" ref="L364:L376" si="258">$O$327</f>
        <v>45</v>
      </c>
      <c r="M364" s="32">
        <f t="shared" ref="M364:M376" si="259">K364*G364</f>
        <v>1</v>
      </c>
      <c r="N364" s="11">
        <f t="shared" ref="N364:N376" si="260">M364*L364</f>
        <v>45</v>
      </c>
      <c r="O364" s="11">
        <f t="shared" ref="O364:O376" si="261">N364+J364</f>
        <v>455.68803999999994</v>
      </c>
      <c r="P364" s="54"/>
      <c r="Q364" s="39"/>
      <c r="R364" s="39"/>
      <c r="U364" s="41"/>
    </row>
    <row r="365" spans="1:21" s="40" customFormat="1" ht="16.8" customHeight="1">
      <c r="A365" s="33">
        <f>IF(H365&lt;&gt;"",1+MAX($A$5:A364),"")</f>
        <v>270</v>
      </c>
      <c r="B365" s="79"/>
      <c r="C365" s="69"/>
      <c r="D365" s="27" t="s">
        <v>292</v>
      </c>
      <c r="E365" s="35">
        <v>6</v>
      </c>
      <c r="F365" s="36">
        <v>0</v>
      </c>
      <c r="G365" s="37">
        <f t="shared" si="256"/>
        <v>6</v>
      </c>
      <c r="H365" s="38" t="s">
        <v>3</v>
      </c>
      <c r="I365" s="19">
        <v>708.39599999999996</v>
      </c>
      <c r="J365" s="19">
        <f t="shared" si="257"/>
        <v>4250.3760000000002</v>
      </c>
      <c r="K365" s="31">
        <v>1.56</v>
      </c>
      <c r="L365" s="19">
        <f t="shared" si="258"/>
        <v>45</v>
      </c>
      <c r="M365" s="32">
        <f t="shared" si="259"/>
        <v>9.36</v>
      </c>
      <c r="N365" s="11">
        <f t="shared" si="260"/>
        <v>421.2</v>
      </c>
      <c r="O365" s="11">
        <f t="shared" si="261"/>
        <v>4671.576</v>
      </c>
      <c r="P365" s="54"/>
      <c r="Q365" s="39"/>
      <c r="R365" s="39"/>
      <c r="U365" s="41"/>
    </row>
    <row r="366" spans="1:21" s="40" customFormat="1" ht="16.8" customHeight="1">
      <c r="A366" s="33">
        <f>IF(H366&lt;&gt;"",1+MAX($A$5:A365),"")</f>
        <v>271</v>
      </c>
      <c r="B366" s="79"/>
      <c r="C366" s="69"/>
      <c r="D366" s="27" t="s">
        <v>293</v>
      </c>
      <c r="E366" s="35">
        <v>1</v>
      </c>
      <c r="F366" s="36">
        <v>0</v>
      </c>
      <c r="G366" s="37">
        <f t="shared" si="256"/>
        <v>1</v>
      </c>
      <c r="H366" s="38" t="s">
        <v>3</v>
      </c>
      <c r="I366" s="19">
        <v>345.15232799999995</v>
      </c>
      <c r="J366" s="19">
        <f t="shared" si="257"/>
        <v>345.15232799999995</v>
      </c>
      <c r="K366" s="31">
        <v>1</v>
      </c>
      <c r="L366" s="19">
        <f t="shared" si="258"/>
        <v>45</v>
      </c>
      <c r="M366" s="32">
        <f t="shared" si="259"/>
        <v>1</v>
      </c>
      <c r="N366" s="11">
        <f t="shared" si="260"/>
        <v>45</v>
      </c>
      <c r="O366" s="11">
        <f t="shared" si="261"/>
        <v>390.15232799999995</v>
      </c>
      <c r="P366" s="54"/>
      <c r="Q366" s="39"/>
      <c r="R366" s="39"/>
      <c r="U366" s="41"/>
    </row>
    <row r="367" spans="1:21" s="40" customFormat="1" ht="16.8" customHeight="1">
      <c r="A367" s="33">
        <f>IF(H367&lt;&gt;"",1+MAX($A$5:A366),"")</f>
        <v>272</v>
      </c>
      <c r="B367" s="79"/>
      <c r="C367" s="69"/>
      <c r="D367" s="27" t="s">
        <v>294</v>
      </c>
      <c r="E367" s="35">
        <v>1</v>
      </c>
      <c r="F367" s="36">
        <v>0</v>
      </c>
      <c r="G367" s="37">
        <f t="shared" si="256"/>
        <v>1</v>
      </c>
      <c r="H367" s="38" t="s">
        <v>3</v>
      </c>
      <c r="I367" s="19">
        <v>363.243672</v>
      </c>
      <c r="J367" s="19">
        <f t="shared" si="257"/>
        <v>363.243672</v>
      </c>
      <c r="K367" s="31">
        <v>1</v>
      </c>
      <c r="L367" s="19">
        <f t="shared" si="258"/>
        <v>45</v>
      </c>
      <c r="M367" s="32">
        <f t="shared" si="259"/>
        <v>1</v>
      </c>
      <c r="N367" s="11">
        <f t="shared" si="260"/>
        <v>45</v>
      </c>
      <c r="O367" s="11">
        <f t="shared" si="261"/>
        <v>408.243672</v>
      </c>
      <c r="P367" s="54"/>
      <c r="Q367" s="39"/>
      <c r="R367" s="39"/>
      <c r="U367" s="41"/>
    </row>
    <row r="368" spans="1:21" s="40" customFormat="1" ht="16.8" customHeight="1">
      <c r="A368" s="33">
        <f>IF(H368&lt;&gt;"",1+MAX($A$5:A367),"")</f>
        <v>273</v>
      </c>
      <c r="B368" s="79"/>
      <c r="C368" s="69"/>
      <c r="D368" s="27" t="s">
        <v>295</v>
      </c>
      <c r="E368" s="35">
        <v>2</v>
      </c>
      <c r="F368" s="36">
        <v>0</v>
      </c>
      <c r="G368" s="37">
        <f t="shared" si="256"/>
        <v>2</v>
      </c>
      <c r="H368" s="38" t="s">
        <v>3</v>
      </c>
      <c r="I368" s="19">
        <v>363.243672</v>
      </c>
      <c r="J368" s="19">
        <f t="shared" si="257"/>
        <v>726.48734400000001</v>
      </c>
      <c r="K368" s="31">
        <v>1</v>
      </c>
      <c r="L368" s="19">
        <f t="shared" si="258"/>
        <v>45</v>
      </c>
      <c r="M368" s="32">
        <f t="shared" si="259"/>
        <v>2</v>
      </c>
      <c r="N368" s="11">
        <f t="shared" si="260"/>
        <v>90</v>
      </c>
      <c r="O368" s="11">
        <f t="shared" si="261"/>
        <v>816.48734400000001</v>
      </c>
      <c r="P368" s="54"/>
      <c r="Q368" s="39"/>
      <c r="R368" s="39"/>
      <c r="U368" s="41"/>
    </row>
    <row r="369" spans="1:21" s="40" customFormat="1" ht="16.8" customHeight="1">
      <c r="A369" s="33">
        <f>IF(H369&lt;&gt;"",1+MAX($A$5:A368),"")</f>
        <v>274</v>
      </c>
      <c r="B369" s="79"/>
      <c r="C369" s="69"/>
      <c r="D369" s="27" t="s">
        <v>296</v>
      </c>
      <c r="E369" s="35">
        <v>1</v>
      </c>
      <c r="F369" s="36">
        <v>0</v>
      </c>
      <c r="G369" s="37">
        <f t="shared" si="256"/>
        <v>1</v>
      </c>
      <c r="H369" s="38" t="s">
        <v>3</v>
      </c>
      <c r="I369" s="19">
        <v>363.243672</v>
      </c>
      <c r="J369" s="19">
        <f t="shared" si="257"/>
        <v>363.243672</v>
      </c>
      <c r="K369" s="31">
        <v>1</v>
      </c>
      <c r="L369" s="19">
        <f t="shared" si="258"/>
        <v>45</v>
      </c>
      <c r="M369" s="32">
        <f t="shared" si="259"/>
        <v>1</v>
      </c>
      <c r="N369" s="11">
        <f t="shared" si="260"/>
        <v>45</v>
      </c>
      <c r="O369" s="11">
        <f t="shared" si="261"/>
        <v>408.243672</v>
      </c>
      <c r="P369" s="54"/>
      <c r="Q369" s="39"/>
      <c r="R369" s="39"/>
      <c r="U369" s="41"/>
    </row>
    <row r="370" spans="1:21" s="40" customFormat="1" ht="16.8" customHeight="1">
      <c r="A370" s="33">
        <f>IF(H370&lt;&gt;"",1+MAX($A$5:A369),"")</f>
        <v>275</v>
      </c>
      <c r="B370" s="79"/>
      <c r="C370" s="69"/>
      <c r="D370" s="27" t="s">
        <v>297</v>
      </c>
      <c r="E370" s="35">
        <v>1</v>
      </c>
      <c r="F370" s="36">
        <v>0</v>
      </c>
      <c r="G370" s="37">
        <f t="shared" si="256"/>
        <v>1</v>
      </c>
      <c r="H370" s="38" t="s">
        <v>3</v>
      </c>
      <c r="I370" s="19">
        <v>363.243672</v>
      </c>
      <c r="J370" s="19">
        <f t="shared" si="257"/>
        <v>363.243672</v>
      </c>
      <c r="K370" s="31">
        <v>1</v>
      </c>
      <c r="L370" s="19">
        <f t="shared" si="258"/>
        <v>45</v>
      </c>
      <c r="M370" s="32">
        <f t="shared" si="259"/>
        <v>1</v>
      </c>
      <c r="N370" s="11">
        <f t="shared" si="260"/>
        <v>45</v>
      </c>
      <c r="O370" s="11">
        <f t="shared" si="261"/>
        <v>408.243672</v>
      </c>
      <c r="P370" s="54"/>
      <c r="Q370" s="39"/>
      <c r="R370" s="39"/>
      <c r="U370" s="41"/>
    </row>
    <row r="371" spans="1:21" s="40" customFormat="1" ht="16.8" customHeight="1">
      <c r="A371" s="33">
        <f>IF(H371&lt;&gt;"",1+MAX($A$5:A370),"")</f>
        <v>276</v>
      </c>
      <c r="B371" s="79"/>
      <c r="C371" s="69"/>
      <c r="D371" s="27" t="s">
        <v>298</v>
      </c>
      <c r="E371" s="35">
        <v>2</v>
      </c>
      <c r="F371" s="36">
        <v>0</v>
      </c>
      <c r="G371" s="37">
        <f t="shared" si="256"/>
        <v>2</v>
      </c>
      <c r="H371" s="38" t="s">
        <v>3</v>
      </c>
      <c r="I371" s="19">
        <v>444.981672</v>
      </c>
      <c r="J371" s="19">
        <f t="shared" si="257"/>
        <v>889.96334400000001</v>
      </c>
      <c r="K371" s="31">
        <v>1</v>
      </c>
      <c r="L371" s="19">
        <f t="shared" si="258"/>
        <v>45</v>
      </c>
      <c r="M371" s="32">
        <f t="shared" si="259"/>
        <v>2</v>
      </c>
      <c r="N371" s="11">
        <f t="shared" si="260"/>
        <v>90</v>
      </c>
      <c r="O371" s="11">
        <f t="shared" si="261"/>
        <v>979.96334400000001</v>
      </c>
      <c r="P371" s="54"/>
      <c r="Q371" s="39"/>
      <c r="R371" s="39"/>
      <c r="U371" s="41"/>
    </row>
    <row r="372" spans="1:21" s="40" customFormat="1" ht="16.8" customHeight="1">
      <c r="A372" s="33">
        <f>IF(H372&lt;&gt;"",1+MAX($A$5:A371),"")</f>
        <v>277</v>
      </c>
      <c r="B372" s="79"/>
      <c r="C372" s="69"/>
      <c r="D372" s="27" t="s">
        <v>299</v>
      </c>
      <c r="E372" s="35">
        <v>4</v>
      </c>
      <c r="F372" s="36">
        <v>0</v>
      </c>
      <c r="G372" s="37">
        <f t="shared" si="256"/>
        <v>4</v>
      </c>
      <c r="H372" s="38" t="s">
        <v>3</v>
      </c>
      <c r="I372" s="19">
        <v>472.22767200000004</v>
      </c>
      <c r="J372" s="19">
        <f t="shared" si="257"/>
        <v>1888.9106880000002</v>
      </c>
      <c r="K372" s="31">
        <v>1.03992</v>
      </c>
      <c r="L372" s="19">
        <f t="shared" si="258"/>
        <v>45</v>
      </c>
      <c r="M372" s="32">
        <f t="shared" si="259"/>
        <v>4.1596799999999998</v>
      </c>
      <c r="N372" s="11">
        <f t="shared" si="260"/>
        <v>187.18559999999999</v>
      </c>
      <c r="O372" s="11">
        <f t="shared" si="261"/>
        <v>2076.0962880000002</v>
      </c>
      <c r="P372" s="54"/>
      <c r="Q372" s="39"/>
      <c r="R372" s="39"/>
      <c r="U372" s="41"/>
    </row>
    <row r="373" spans="1:21" s="40" customFormat="1" ht="16.8" customHeight="1">
      <c r="A373" s="33">
        <f>IF(H373&lt;&gt;"",1+MAX($A$5:A372),"")</f>
        <v>278</v>
      </c>
      <c r="B373" s="79"/>
      <c r="C373" s="69"/>
      <c r="D373" s="27" t="s">
        <v>300</v>
      </c>
      <c r="E373" s="35">
        <v>1</v>
      </c>
      <c r="F373" s="36">
        <v>0</v>
      </c>
      <c r="G373" s="37">
        <f t="shared" si="256"/>
        <v>1</v>
      </c>
      <c r="H373" s="38" t="s">
        <v>3</v>
      </c>
      <c r="I373" s="19">
        <v>118.08416399999999</v>
      </c>
      <c r="J373" s="19">
        <f t="shared" si="257"/>
        <v>118.08416399999999</v>
      </c>
      <c r="K373" s="31">
        <v>0.8</v>
      </c>
      <c r="L373" s="19">
        <f t="shared" si="258"/>
        <v>45</v>
      </c>
      <c r="M373" s="32">
        <f t="shared" si="259"/>
        <v>0.8</v>
      </c>
      <c r="N373" s="11">
        <f t="shared" si="260"/>
        <v>36</v>
      </c>
      <c r="O373" s="11">
        <f t="shared" si="261"/>
        <v>154.08416399999999</v>
      </c>
      <c r="P373" s="54"/>
      <c r="Q373" s="39"/>
      <c r="R373" s="39"/>
      <c r="U373" s="41"/>
    </row>
    <row r="374" spans="1:21" s="40" customFormat="1" ht="16.8" customHeight="1">
      <c r="A374" s="33">
        <f>IF(H374&lt;&gt;"",1+MAX($A$5:A373),"")</f>
        <v>279</v>
      </c>
      <c r="B374" s="79"/>
      <c r="C374" s="69"/>
      <c r="D374" s="27" t="s">
        <v>301</v>
      </c>
      <c r="E374" s="35">
        <v>1</v>
      </c>
      <c r="F374" s="36">
        <v>0</v>
      </c>
      <c r="G374" s="37">
        <f t="shared" si="256"/>
        <v>1</v>
      </c>
      <c r="H374" s="38" t="s">
        <v>3</v>
      </c>
      <c r="I374" s="19">
        <v>118.08416399999999</v>
      </c>
      <c r="J374" s="19">
        <f t="shared" si="257"/>
        <v>118.08416399999999</v>
      </c>
      <c r="K374" s="31">
        <v>0.8</v>
      </c>
      <c r="L374" s="19">
        <f t="shared" si="258"/>
        <v>45</v>
      </c>
      <c r="M374" s="32">
        <f t="shared" si="259"/>
        <v>0.8</v>
      </c>
      <c r="N374" s="11">
        <f t="shared" si="260"/>
        <v>36</v>
      </c>
      <c r="O374" s="11">
        <f t="shared" si="261"/>
        <v>154.08416399999999</v>
      </c>
      <c r="P374" s="54"/>
      <c r="Q374" s="39"/>
      <c r="R374" s="39"/>
      <c r="U374" s="41"/>
    </row>
    <row r="375" spans="1:21" s="40" customFormat="1" ht="16.8" customHeight="1">
      <c r="A375" s="33">
        <f>IF(H375&lt;&gt;"",1+MAX($A$5:A374),"")</f>
        <v>280</v>
      </c>
      <c r="B375" s="79"/>
      <c r="C375" s="69"/>
      <c r="D375" s="27" t="s">
        <v>302</v>
      </c>
      <c r="E375" s="35">
        <v>2</v>
      </c>
      <c r="F375" s="36">
        <v>0</v>
      </c>
      <c r="G375" s="37">
        <f t="shared" si="256"/>
        <v>2</v>
      </c>
      <c r="H375" s="38" t="s">
        <v>3</v>
      </c>
      <c r="I375" s="19">
        <v>172.57616399999998</v>
      </c>
      <c r="J375" s="19">
        <f t="shared" si="257"/>
        <v>345.15232799999995</v>
      </c>
      <c r="K375" s="31">
        <v>0.8</v>
      </c>
      <c r="L375" s="19">
        <f t="shared" si="258"/>
        <v>45</v>
      </c>
      <c r="M375" s="32">
        <f t="shared" si="259"/>
        <v>1.6</v>
      </c>
      <c r="N375" s="11">
        <f t="shared" si="260"/>
        <v>72</v>
      </c>
      <c r="O375" s="11">
        <f t="shared" si="261"/>
        <v>417.15232799999995</v>
      </c>
      <c r="P375" s="54"/>
      <c r="Q375" s="39"/>
      <c r="R375" s="39"/>
      <c r="U375" s="41"/>
    </row>
    <row r="376" spans="1:21" s="40" customFormat="1" ht="16.8" customHeight="1">
      <c r="A376" s="33">
        <f>IF(H376&lt;&gt;"",1+MAX($A$5:A375),"")</f>
        <v>281</v>
      </c>
      <c r="B376" s="79"/>
      <c r="C376" s="69"/>
      <c r="D376" s="27" t="s">
        <v>303</v>
      </c>
      <c r="E376" s="35">
        <v>3</v>
      </c>
      <c r="F376" s="36">
        <v>0</v>
      </c>
      <c r="G376" s="37">
        <f t="shared" si="256"/>
        <v>3</v>
      </c>
      <c r="H376" s="38" t="s">
        <v>3</v>
      </c>
      <c r="I376" s="19">
        <v>222.490836</v>
      </c>
      <c r="J376" s="19">
        <f t="shared" si="257"/>
        <v>667.47250800000006</v>
      </c>
      <c r="K376" s="31">
        <v>0.8</v>
      </c>
      <c r="L376" s="19">
        <f t="shared" si="258"/>
        <v>45</v>
      </c>
      <c r="M376" s="32">
        <f t="shared" si="259"/>
        <v>2.4000000000000004</v>
      </c>
      <c r="N376" s="11">
        <f t="shared" si="260"/>
        <v>108.00000000000001</v>
      </c>
      <c r="O376" s="11">
        <f t="shared" si="261"/>
        <v>775.47250800000006</v>
      </c>
      <c r="P376" s="54"/>
      <c r="Q376" s="39"/>
      <c r="R376" s="39"/>
      <c r="U376" s="41"/>
    </row>
    <row r="377" spans="1:21" s="40" customFormat="1" ht="16.8" customHeight="1">
      <c r="A377" s="33" t="str">
        <f>IF(H377&lt;&gt;"",1+MAX($A$5:A376),"")</f>
        <v/>
      </c>
      <c r="B377" s="79"/>
      <c r="C377" s="69"/>
      <c r="D377" s="27"/>
      <c r="E377" s="35"/>
      <c r="F377" s="36"/>
      <c r="G377" s="37"/>
      <c r="H377" s="38"/>
      <c r="I377" s="19"/>
      <c r="J377" s="19"/>
      <c r="K377" s="31"/>
      <c r="L377" s="19"/>
      <c r="M377" s="32"/>
      <c r="N377" s="11"/>
      <c r="O377" s="11"/>
      <c r="P377" s="54"/>
      <c r="Q377" s="39"/>
      <c r="R377" s="39"/>
      <c r="U377" s="41"/>
    </row>
    <row r="378" spans="1:21" s="107" customFormat="1" ht="18">
      <c r="A378" s="98" t="str">
        <f>IF(H378&lt;&gt;"",1+MAX($A$5:A378),"")</f>
        <v/>
      </c>
      <c r="B378" s="99"/>
      <c r="C378" s="99"/>
      <c r="D378" s="100" t="s">
        <v>31</v>
      </c>
      <c r="E378" s="101"/>
      <c r="F378" s="102"/>
      <c r="G378" s="103"/>
      <c r="H378" s="102"/>
      <c r="I378" s="102"/>
      <c r="J378" s="102"/>
      <c r="K378" s="102"/>
      <c r="L378" s="102"/>
      <c r="M378" s="102"/>
      <c r="N378" s="104"/>
      <c r="O378" s="102"/>
      <c r="P378" s="105">
        <f>SUM(O381:O584)</f>
        <v>136159.27581746006</v>
      </c>
      <c r="Q378" s="39"/>
      <c r="R378" s="106"/>
      <c r="U378" s="108"/>
    </row>
    <row r="379" spans="1:21" s="3" customFormat="1">
      <c r="A379" s="33" t="str">
        <f>IF(H379&lt;&gt;"",1+MAX($A$5:A378),"")</f>
        <v/>
      </c>
      <c r="B379" s="62"/>
      <c r="C379" s="68"/>
      <c r="D379" s="63"/>
      <c r="E379" s="15"/>
      <c r="F379" s="16"/>
      <c r="G379" s="21"/>
      <c r="H379" s="17"/>
      <c r="I379" s="17"/>
      <c r="J379" s="17"/>
      <c r="K379" s="17"/>
      <c r="L379" s="17"/>
      <c r="M379" s="17"/>
      <c r="N379" s="82" t="s">
        <v>20</v>
      </c>
      <c r="O379" s="29">
        <v>45</v>
      </c>
      <c r="P379" s="54"/>
      <c r="Q379" s="39"/>
      <c r="R379" s="2"/>
      <c r="U379" s="14"/>
    </row>
    <row r="380" spans="1:21" s="40" customFormat="1" ht="16.8" customHeight="1">
      <c r="A380" s="33" t="str">
        <f>IF(H380&lt;&gt;"",1+MAX($A$5:A379),"")</f>
        <v/>
      </c>
      <c r="B380" s="79"/>
      <c r="C380" s="69"/>
      <c r="D380" s="114" t="s">
        <v>304</v>
      </c>
      <c r="E380" s="35"/>
      <c r="F380" s="36"/>
      <c r="G380" s="37"/>
      <c r="H380" s="38"/>
      <c r="I380" s="19"/>
      <c r="J380" s="19"/>
      <c r="K380" s="31"/>
      <c r="L380" s="19"/>
      <c r="M380" s="32"/>
      <c r="N380" s="11"/>
      <c r="O380" s="11"/>
      <c r="P380" s="54"/>
      <c r="Q380" s="39"/>
      <c r="R380" s="39"/>
      <c r="U380" s="41"/>
    </row>
    <row r="381" spans="1:21" s="40" customFormat="1" ht="16.8" customHeight="1">
      <c r="A381" s="33" t="str">
        <f>IF(H381&lt;&gt;"",1+MAX($A$5:A380),"")</f>
        <v/>
      </c>
      <c r="B381" s="79"/>
      <c r="C381" s="69"/>
      <c r="D381" s="94" t="s">
        <v>305</v>
      </c>
      <c r="E381" s="35"/>
      <c r="F381" s="36"/>
      <c r="G381" s="37"/>
      <c r="H381" s="38"/>
      <c r="I381" s="19"/>
      <c r="J381" s="19"/>
      <c r="K381" s="31"/>
      <c r="L381" s="19"/>
      <c r="M381" s="32"/>
      <c r="N381" s="11"/>
      <c r="O381" s="11"/>
      <c r="P381" s="54"/>
      <c r="Q381" s="39"/>
      <c r="R381" s="39"/>
      <c r="U381" s="41"/>
    </row>
    <row r="382" spans="1:21" s="40" customFormat="1" ht="16.8" customHeight="1">
      <c r="A382" s="33">
        <f>IF(H382&lt;&gt;"",1+MAX($A$5:A381),"")</f>
        <v>282</v>
      </c>
      <c r="B382" s="79"/>
      <c r="C382" s="69"/>
      <c r="D382" s="27" t="s">
        <v>38</v>
      </c>
      <c r="E382" s="35">
        <v>16</v>
      </c>
      <c r="F382" s="36">
        <v>0.1</v>
      </c>
      <c r="G382" s="37">
        <f>(1+F382)*E382</f>
        <v>17.600000000000001</v>
      </c>
      <c r="H382" s="38" t="s">
        <v>32</v>
      </c>
      <c r="I382" s="19">
        <v>1.3383999999999998</v>
      </c>
      <c r="J382" s="19">
        <f t="shared" ref="J382" si="262">G382*I382</f>
        <v>23.55584</v>
      </c>
      <c r="K382" s="31">
        <v>0.02</v>
      </c>
      <c r="L382" s="19">
        <f>$O$379</f>
        <v>45</v>
      </c>
      <c r="M382" s="32">
        <f t="shared" ref="M382" si="263">K382*G382</f>
        <v>0.35200000000000004</v>
      </c>
      <c r="N382" s="11">
        <f t="shared" ref="N382" si="264">M382*L382</f>
        <v>15.840000000000002</v>
      </c>
      <c r="O382" s="11">
        <f t="shared" ref="O382" si="265">N382+J382</f>
        <v>39.39584</v>
      </c>
      <c r="P382" s="54"/>
      <c r="Q382" s="39"/>
      <c r="R382" s="39"/>
      <c r="U382" s="41"/>
    </row>
    <row r="383" spans="1:21" s="40" customFormat="1" ht="16.8" customHeight="1">
      <c r="A383" s="33" t="str">
        <f>IF(H383&lt;&gt;"",1+MAX($A$5:A382),"")</f>
        <v/>
      </c>
      <c r="B383" s="79"/>
      <c r="C383" s="69"/>
      <c r="D383" s="95" t="s">
        <v>39</v>
      </c>
      <c r="E383" s="35">
        <f>ROUNDUP(G382/32,0)</f>
        <v>1</v>
      </c>
      <c r="F383" s="36"/>
      <c r="G383" s="37"/>
      <c r="H383" s="38"/>
      <c r="I383" s="19"/>
      <c r="J383" s="19"/>
      <c r="K383" s="31"/>
      <c r="L383" s="19"/>
      <c r="M383" s="32"/>
      <c r="N383" s="11"/>
      <c r="O383" s="11"/>
      <c r="P383" s="54"/>
      <c r="Q383" s="39"/>
      <c r="R383" s="39"/>
      <c r="U383" s="41"/>
    </row>
    <row r="384" spans="1:21" s="40" customFormat="1" ht="16.8" customHeight="1">
      <c r="A384" s="33" t="str">
        <f>IF(H384&lt;&gt;"",1+MAX($A$5:A383),"")</f>
        <v/>
      </c>
      <c r="B384" s="79"/>
      <c r="C384" s="69"/>
      <c r="D384" s="95" t="s">
        <v>33</v>
      </c>
      <c r="E384" s="35">
        <f>E383*48</f>
        <v>48</v>
      </c>
      <c r="F384" s="36"/>
      <c r="G384" s="37"/>
      <c r="H384" s="38"/>
      <c r="I384" s="19"/>
      <c r="J384" s="19"/>
      <c r="K384" s="31"/>
      <c r="L384" s="19"/>
      <c r="M384" s="32"/>
      <c r="N384" s="11"/>
      <c r="O384" s="11"/>
      <c r="P384" s="54"/>
      <c r="Q384" s="39"/>
      <c r="R384" s="39"/>
      <c r="U384" s="41"/>
    </row>
    <row r="385" spans="1:21" s="40" customFormat="1" ht="16.8" customHeight="1">
      <c r="A385" s="33" t="str">
        <f>IF(H385&lt;&gt;"",1+MAX($A$5:A384),"")</f>
        <v/>
      </c>
      <c r="B385" s="79"/>
      <c r="C385" s="69"/>
      <c r="D385" s="95" t="s">
        <v>34</v>
      </c>
      <c r="E385" s="35">
        <f>E383</f>
        <v>1</v>
      </c>
      <c r="F385" s="36"/>
      <c r="G385" s="37"/>
      <c r="H385" s="38"/>
      <c r="I385" s="19"/>
      <c r="J385" s="19"/>
      <c r="K385" s="31"/>
      <c r="L385" s="19"/>
      <c r="M385" s="32"/>
      <c r="N385" s="11"/>
      <c r="O385" s="11"/>
      <c r="P385" s="54"/>
      <c r="Q385" s="39"/>
      <c r="R385" s="39"/>
      <c r="U385" s="41"/>
    </row>
    <row r="386" spans="1:21" s="40" customFormat="1" ht="16.8" customHeight="1">
      <c r="A386" s="33" t="str">
        <f>IF(H386&lt;&gt;"",1+MAX($A$5:A385),"")</f>
        <v/>
      </c>
      <c r="B386" s="79"/>
      <c r="C386" s="69"/>
      <c r="D386" s="95" t="s">
        <v>35</v>
      </c>
      <c r="E386" s="35">
        <f>E383*14</f>
        <v>14</v>
      </c>
      <c r="F386" s="36"/>
      <c r="G386" s="37"/>
      <c r="H386" s="38"/>
      <c r="I386" s="19"/>
      <c r="J386" s="19"/>
      <c r="K386" s="31"/>
      <c r="L386" s="19"/>
      <c r="M386" s="32"/>
      <c r="N386" s="11"/>
      <c r="O386" s="11"/>
      <c r="P386" s="54"/>
      <c r="Q386" s="39"/>
      <c r="R386" s="39"/>
      <c r="U386" s="41"/>
    </row>
    <row r="387" spans="1:21" s="40" customFormat="1" ht="16.8" customHeight="1">
      <c r="A387" s="33">
        <f>IF(H387&lt;&gt;"",1+MAX($A$5:A386),"")</f>
        <v>283</v>
      </c>
      <c r="B387" s="79"/>
      <c r="C387" s="69"/>
      <c r="D387" s="27" t="s">
        <v>306</v>
      </c>
      <c r="E387" s="35">
        <v>16</v>
      </c>
      <c r="F387" s="36">
        <v>0.1</v>
      </c>
      <c r="G387" s="37">
        <f>(1+F387)*E387</f>
        <v>17.600000000000001</v>
      </c>
      <c r="H387" s="38" t="s">
        <v>32</v>
      </c>
      <c r="I387" s="19">
        <v>0.62139999999999995</v>
      </c>
      <c r="J387" s="19">
        <f t="shared" ref="J387" si="266">G387*I387</f>
        <v>10.936640000000001</v>
      </c>
      <c r="K387" s="31">
        <v>0.02</v>
      </c>
      <c r="L387" s="19">
        <f>$O$379</f>
        <v>45</v>
      </c>
      <c r="M387" s="32">
        <f t="shared" ref="M387" si="267">K387*G387</f>
        <v>0.35200000000000004</v>
      </c>
      <c r="N387" s="11">
        <f t="shared" ref="N387" si="268">M387*L387</f>
        <v>15.840000000000002</v>
      </c>
      <c r="O387" s="11">
        <f t="shared" ref="O387" si="269">N387+J387</f>
        <v>26.77664</v>
      </c>
      <c r="P387" s="54"/>
      <c r="Q387" s="39"/>
      <c r="R387" s="39"/>
      <c r="U387" s="41"/>
    </row>
    <row r="388" spans="1:21" s="40" customFormat="1" ht="16.8" customHeight="1">
      <c r="A388" s="33" t="str">
        <f>IF(H388&lt;&gt;"",1+MAX($A$5:A387),"")</f>
        <v/>
      </c>
      <c r="B388" s="79"/>
      <c r="C388" s="69"/>
      <c r="D388" s="95" t="s">
        <v>39</v>
      </c>
      <c r="E388" s="35">
        <f>ROUNDUP(G387/32,0)</f>
        <v>1</v>
      </c>
      <c r="F388" s="36"/>
      <c r="G388" s="37"/>
      <c r="H388" s="38"/>
      <c r="I388" s="19"/>
      <c r="J388" s="19"/>
      <c r="K388" s="31"/>
      <c r="L388" s="19"/>
      <c r="M388" s="32"/>
      <c r="N388" s="11"/>
      <c r="O388" s="11"/>
      <c r="P388" s="54"/>
      <c r="Q388" s="39"/>
      <c r="R388" s="39"/>
      <c r="U388" s="41"/>
    </row>
    <row r="389" spans="1:21" s="40" customFormat="1" ht="16.8" customHeight="1">
      <c r="A389" s="33" t="str">
        <f>IF(H389&lt;&gt;"",1+MAX($A$5:A388),"")</f>
        <v/>
      </c>
      <c r="B389" s="79"/>
      <c r="C389" s="69"/>
      <c r="D389" s="95" t="s">
        <v>33</v>
      </c>
      <c r="E389" s="35">
        <f>E388*48</f>
        <v>48</v>
      </c>
      <c r="F389" s="36"/>
      <c r="G389" s="37"/>
      <c r="H389" s="38"/>
      <c r="I389" s="19"/>
      <c r="J389" s="19"/>
      <c r="K389" s="31"/>
      <c r="L389" s="19"/>
      <c r="M389" s="32"/>
      <c r="N389" s="11"/>
      <c r="O389" s="11"/>
      <c r="P389" s="54"/>
      <c r="Q389" s="39"/>
      <c r="R389" s="39"/>
      <c r="U389" s="41"/>
    </row>
    <row r="390" spans="1:21" s="40" customFormat="1" ht="16.8" customHeight="1">
      <c r="A390" s="33" t="str">
        <f>IF(H390&lt;&gt;"",1+MAX($A$5:A389),"")</f>
        <v/>
      </c>
      <c r="B390" s="79"/>
      <c r="C390" s="69"/>
      <c r="D390" s="95" t="s">
        <v>34</v>
      </c>
      <c r="E390" s="35">
        <f>E388</f>
        <v>1</v>
      </c>
      <c r="F390" s="36"/>
      <c r="G390" s="37"/>
      <c r="H390" s="38"/>
      <c r="I390" s="19"/>
      <c r="J390" s="19"/>
      <c r="K390" s="31"/>
      <c r="L390" s="19"/>
      <c r="M390" s="32"/>
      <c r="N390" s="11"/>
      <c r="O390" s="11"/>
      <c r="P390" s="54"/>
      <c r="Q390" s="39"/>
      <c r="R390" s="39"/>
      <c r="U390" s="41"/>
    </row>
    <row r="391" spans="1:21" s="40" customFormat="1" ht="16.8" customHeight="1">
      <c r="A391" s="33" t="str">
        <f>IF(H391&lt;&gt;"",1+MAX($A$5:A390),"")</f>
        <v/>
      </c>
      <c r="B391" s="79"/>
      <c r="C391" s="69"/>
      <c r="D391" s="95" t="s">
        <v>35</v>
      </c>
      <c r="E391" s="35">
        <f>E388*14</f>
        <v>14</v>
      </c>
      <c r="F391" s="36"/>
      <c r="G391" s="37"/>
      <c r="H391" s="38"/>
      <c r="I391" s="19"/>
      <c r="J391" s="19"/>
      <c r="K391" s="31"/>
      <c r="L391" s="19"/>
      <c r="M391" s="32"/>
      <c r="N391" s="11"/>
      <c r="O391" s="11"/>
      <c r="P391" s="54"/>
      <c r="Q391" s="39"/>
      <c r="R391" s="39"/>
      <c r="U391" s="41"/>
    </row>
    <row r="392" spans="1:21" s="40" customFormat="1" ht="16.8" customHeight="1">
      <c r="A392" s="33">
        <f>IF(H392&lt;&gt;"",1+MAX($A$5:A391),"")</f>
        <v>284</v>
      </c>
      <c r="B392" s="79"/>
      <c r="C392" s="69"/>
      <c r="D392" s="27" t="s">
        <v>307</v>
      </c>
      <c r="E392" s="35">
        <v>16</v>
      </c>
      <c r="F392" s="36">
        <v>0.1</v>
      </c>
      <c r="G392" s="37">
        <f>(1+F392)*E392</f>
        <v>17.600000000000001</v>
      </c>
      <c r="H392" s="38" t="s">
        <v>32</v>
      </c>
      <c r="I392" s="19">
        <v>3.6025266666666669</v>
      </c>
      <c r="J392" s="19">
        <f t="shared" ref="J392:J394" si="270">G392*I392</f>
        <v>63.404469333333346</v>
      </c>
      <c r="K392" s="31">
        <f>(0.016/12)*14</f>
        <v>1.8666666666666665E-2</v>
      </c>
      <c r="L392" s="19">
        <f t="shared" ref="L392:L394" si="271">$O$379</f>
        <v>45</v>
      </c>
      <c r="M392" s="32">
        <f t="shared" ref="M392:M394" si="272">K392*G392</f>
        <v>0.32853333333333334</v>
      </c>
      <c r="N392" s="11">
        <f t="shared" ref="N392:N394" si="273">M392*L392</f>
        <v>14.784000000000001</v>
      </c>
      <c r="O392" s="11">
        <f t="shared" ref="O392:O394" si="274">N392+J392</f>
        <v>78.188469333333344</v>
      </c>
      <c r="P392" s="54"/>
      <c r="Q392" s="39"/>
      <c r="R392" s="39"/>
      <c r="U392" s="41"/>
    </row>
    <row r="393" spans="1:21" s="40" customFormat="1" ht="16.8" customHeight="1">
      <c r="A393" s="33">
        <f>IF(H393&lt;&gt;"",1+MAX($A$5:A392),"")</f>
        <v>285</v>
      </c>
      <c r="B393" s="79"/>
      <c r="C393" s="69"/>
      <c r="D393" s="27" t="s">
        <v>40</v>
      </c>
      <c r="E393" s="35">
        <f>1.9*2</f>
        <v>3.8</v>
      </c>
      <c r="F393" s="36">
        <v>0.1</v>
      </c>
      <c r="G393" s="37">
        <f>(1+F393)*E393</f>
        <v>4.18</v>
      </c>
      <c r="H393" s="38" t="s">
        <v>4</v>
      </c>
      <c r="I393" s="19">
        <v>0.37284</v>
      </c>
      <c r="J393" s="19">
        <f t="shared" si="270"/>
        <v>1.5584711999999998</v>
      </c>
      <c r="K393" s="31">
        <v>6.6699999999999997E-3</v>
      </c>
      <c r="L393" s="19">
        <f t="shared" si="271"/>
        <v>45</v>
      </c>
      <c r="M393" s="32">
        <f t="shared" si="272"/>
        <v>2.7880599999999998E-2</v>
      </c>
      <c r="N393" s="11">
        <f t="shared" si="273"/>
        <v>1.2546269999999999</v>
      </c>
      <c r="O393" s="11">
        <f t="shared" si="274"/>
        <v>2.8130981999999998</v>
      </c>
      <c r="P393" s="54"/>
      <c r="Q393" s="39"/>
      <c r="R393" s="39"/>
      <c r="U393" s="41"/>
    </row>
    <row r="394" spans="1:21" s="40" customFormat="1" ht="16.8" customHeight="1">
      <c r="A394" s="33">
        <f>IF(H394&lt;&gt;"",1+MAX($A$5:A393),"")</f>
        <v>286</v>
      </c>
      <c r="B394" s="79"/>
      <c r="C394" s="69"/>
      <c r="D394" s="27" t="s">
        <v>43</v>
      </c>
      <c r="E394" s="35">
        <v>1.95</v>
      </c>
      <c r="F394" s="36">
        <v>0.1</v>
      </c>
      <c r="G394" s="37">
        <f>(1+F394)*E394</f>
        <v>2.145</v>
      </c>
      <c r="H394" s="38" t="s">
        <v>4</v>
      </c>
      <c r="I394" s="19">
        <v>1.5296000000000001</v>
      </c>
      <c r="J394" s="19">
        <f t="shared" si="270"/>
        <v>3.2809920000000004</v>
      </c>
      <c r="K394" s="31">
        <v>0.02</v>
      </c>
      <c r="L394" s="19">
        <f t="shared" si="271"/>
        <v>45</v>
      </c>
      <c r="M394" s="32">
        <f t="shared" si="272"/>
        <v>4.2900000000000001E-2</v>
      </c>
      <c r="N394" s="11">
        <f t="shared" si="273"/>
        <v>1.9305000000000001</v>
      </c>
      <c r="O394" s="11">
        <f t="shared" si="274"/>
        <v>5.2114920000000007</v>
      </c>
      <c r="P394" s="54"/>
      <c r="Q394" s="39"/>
      <c r="R394" s="39"/>
      <c r="U394" s="41"/>
    </row>
    <row r="395" spans="1:21" s="40" customFormat="1" ht="16.8" customHeight="1">
      <c r="A395" s="33" t="str">
        <f>IF(H395&lt;&gt;"",1+MAX($A$5:A394),"")</f>
        <v/>
      </c>
      <c r="B395" s="79"/>
      <c r="C395" s="69"/>
      <c r="D395" s="27" t="s">
        <v>96</v>
      </c>
      <c r="E395" s="35"/>
      <c r="F395" s="36"/>
      <c r="G395" s="37"/>
      <c r="H395" s="38"/>
      <c r="I395" s="19"/>
      <c r="J395" s="19"/>
      <c r="K395" s="31"/>
      <c r="L395" s="19"/>
      <c r="M395" s="32"/>
      <c r="N395" s="11"/>
      <c r="O395" s="11"/>
      <c r="P395" s="54"/>
      <c r="Q395" s="39"/>
      <c r="R395" s="39"/>
      <c r="U395" s="41"/>
    </row>
    <row r="396" spans="1:21" s="40" customFormat="1" ht="16.8" customHeight="1">
      <c r="A396" s="33" t="str">
        <f>IF(H396&lt;&gt;"",1+MAX($A$5:A395),"")</f>
        <v/>
      </c>
      <c r="B396" s="79"/>
      <c r="C396" s="69"/>
      <c r="D396" s="94" t="s">
        <v>308</v>
      </c>
      <c r="E396" s="35"/>
      <c r="F396" s="36"/>
      <c r="G396" s="37"/>
      <c r="H396" s="38"/>
      <c r="I396" s="19"/>
      <c r="J396" s="19"/>
      <c r="K396" s="31"/>
      <c r="L396" s="19"/>
      <c r="M396" s="32"/>
      <c r="N396" s="11"/>
      <c r="O396" s="11"/>
      <c r="P396" s="54"/>
      <c r="Q396" s="39"/>
      <c r="R396" s="39"/>
      <c r="U396" s="41"/>
    </row>
    <row r="397" spans="1:21" s="40" customFormat="1" ht="16.8" customHeight="1">
      <c r="A397" s="33">
        <f>IF(H397&lt;&gt;"",1+MAX($A$5:A396),"")</f>
        <v>287</v>
      </c>
      <c r="B397" s="79"/>
      <c r="C397" s="69"/>
      <c r="D397" s="27" t="s">
        <v>41</v>
      </c>
      <c r="E397" s="35">
        <v>2226</v>
      </c>
      <c r="F397" s="36">
        <v>0.1</v>
      </c>
      <c r="G397" s="37">
        <f>(1+F397)*E397</f>
        <v>2448.6000000000004</v>
      </c>
      <c r="H397" s="38" t="s">
        <v>32</v>
      </c>
      <c r="I397" s="19">
        <v>1.3383999999999998</v>
      </c>
      <c r="J397" s="19">
        <f t="shared" ref="J397" si="275">G397*I397</f>
        <v>3277.20624</v>
      </c>
      <c r="K397" s="31">
        <v>0.02</v>
      </c>
      <c r="L397" s="19">
        <f>$O$379</f>
        <v>45</v>
      </c>
      <c r="M397" s="32">
        <f t="shared" ref="M397" si="276">K397*G397</f>
        <v>48.972000000000008</v>
      </c>
      <c r="N397" s="11">
        <f t="shared" ref="N397" si="277">M397*L397</f>
        <v>2203.7400000000002</v>
      </c>
      <c r="O397" s="11">
        <f t="shared" ref="O397" si="278">N397+J397</f>
        <v>5480.9462400000002</v>
      </c>
      <c r="P397" s="54"/>
      <c r="Q397" s="39"/>
      <c r="R397" s="39"/>
      <c r="U397" s="41"/>
    </row>
    <row r="398" spans="1:21" s="40" customFormat="1" ht="16.8" customHeight="1">
      <c r="A398" s="33" t="str">
        <f>IF(H398&lt;&gt;"",1+MAX($A$5:A397),"")</f>
        <v/>
      </c>
      <c r="B398" s="79"/>
      <c r="C398" s="69"/>
      <c r="D398" s="95" t="s">
        <v>39</v>
      </c>
      <c r="E398" s="35">
        <f>ROUNDUP(G397/32,0)</f>
        <v>77</v>
      </c>
      <c r="F398" s="36"/>
      <c r="G398" s="37"/>
      <c r="H398" s="38"/>
      <c r="I398" s="19"/>
      <c r="J398" s="19"/>
      <c r="K398" s="31"/>
      <c r="L398" s="19"/>
      <c r="M398" s="32"/>
      <c r="N398" s="11"/>
      <c r="O398" s="11"/>
      <c r="P398" s="54"/>
      <c r="Q398" s="39"/>
      <c r="R398" s="39"/>
      <c r="U398" s="41"/>
    </row>
    <row r="399" spans="1:21" s="40" customFormat="1" ht="16.8" customHeight="1">
      <c r="A399" s="33" t="str">
        <f>IF(H399&lt;&gt;"",1+MAX($A$5:A398),"")</f>
        <v/>
      </c>
      <c r="B399" s="79"/>
      <c r="C399" s="69"/>
      <c r="D399" s="95" t="s">
        <v>33</v>
      </c>
      <c r="E399" s="35">
        <f>E398*48</f>
        <v>3696</v>
      </c>
      <c r="F399" s="36"/>
      <c r="G399" s="37"/>
      <c r="H399" s="38"/>
      <c r="I399" s="19"/>
      <c r="J399" s="19"/>
      <c r="K399" s="31"/>
      <c r="L399" s="19"/>
      <c r="M399" s="32"/>
      <c r="N399" s="11"/>
      <c r="O399" s="11"/>
      <c r="P399" s="54"/>
      <c r="Q399" s="39"/>
      <c r="R399" s="39"/>
      <c r="U399" s="41"/>
    </row>
    <row r="400" spans="1:21" s="40" customFormat="1" ht="16.8" customHeight="1">
      <c r="A400" s="33" t="str">
        <f>IF(H400&lt;&gt;"",1+MAX($A$5:A399),"")</f>
        <v/>
      </c>
      <c r="B400" s="79"/>
      <c r="C400" s="69"/>
      <c r="D400" s="95" t="s">
        <v>34</v>
      </c>
      <c r="E400" s="35">
        <f>E398</f>
        <v>77</v>
      </c>
      <c r="F400" s="36"/>
      <c r="G400" s="37"/>
      <c r="H400" s="38"/>
      <c r="I400" s="19"/>
      <c r="J400" s="19"/>
      <c r="K400" s="31"/>
      <c r="L400" s="19"/>
      <c r="M400" s="32"/>
      <c r="N400" s="11"/>
      <c r="O400" s="11"/>
      <c r="P400" s="54"/>
      <c r="Q400" s="39"/>
      <c r="R400" s="39"/>
      <c r="U400" s="41"/>
    </row>
    <row r="401" spans="1:21" s="40" customFormat="1" ht="16.8" customHeight="1">
      <c r="A401" s="33" t="str">
        <f>IF(H401&lt;&gt;"",1+MAX($A$5:A400),"")</f>
        <v/>
      </c>
      <c r="B401" s="79"/>
      <c r="C401" s="69"/>
      <c r="D401" s="95" t="s">
        <v>35</v>
      </c>
      <c r="E401" s="35">
        <f>E398*14</f>
        <v>1078</v>
      </c>
      <c r="F401" s="36"/>
      <c r="G401" s="37"/>
      <c r="H401" s="38"/>
      <c r="I401" s="19"/>
      <c r="J401" s="19"/>
      <c r="K401" s="31"/>
      <c r="L401" s="19"/>
      <c r="M401" s="32"/>
      <c r="N401" s="11"/>
      <c r="O401" s="11"/>
      <c r="P401" s="54"/>
      <c r="Q401" s="39"/>
      <c r="R401" s="39"/>
      <c r="U401" s="41"/>
    </row>
    <row r="402" spans="1:21" s="40" customFormat="1" ht="16.8" customHeight="1">
      <c r="A402" s="33">
        <f>IF(H402&lt;&gt;"",1+MAX($A$5:A401),"")</f>
        <v>288</v>
      </c>
      <c r="B402" s="79"/>
      <c r="C402" s="69"/>
      <c r="D402" s="27" t="s">
        <v>306</v>
      </c>
      <c r="E402" s="35">
        <v>676</v>
      </c>
      <c r="F402" s="36">
        <v>0.1</v>
      </c>
      <c r="G402" s="37">
        <f>(1+F402)*E402</f>
        <v>743.6</v>
      </c>
      <c r="H402" s="38" t="s">
        <v>32</v>
      </c>
      <c r="I402" s="19">
        <v>0.62139999999999995</v>
      </c>
      <c r="J402" s="19">
        <f t="shared" ref="J402" si="279">G402*I402</f>
        <v>462.07303999999999</v>
      </c>
      <c r="K402" s="31">
        <v>0.02</v>
      </c>
      <c r="L402" s="19">
        <f>$O$379</f>
        <v>45</v>
      </c>
      <c r="M402" s="32">
        <f t="shared" ref="M402" si="280">K402*G402</f>
        <v>14.872</v>
      </c>
      <c r="N402" s="11">
        <f t="shared" ref="N402" si="281">M402*L402</f>
        <v>669.24</v>
      </c>
      <c r="O402" s="11">
        <f t="shared" ref="O402" si="282">N402+J402</f>
        <v>1131.31304</v>
      </c>
      <c r="P402" s="54"/>
      <c r="Q402" s="39"/>
      <c r="R402" s="39"/>
      <c r="U402" s="41"/>
    </row>
    <row r="403" spans="1:21" s="40" customFormat="1" ht="16.8" customHeight="1">
      <c r="A403" s="33" t="str">
        <f>IF(H403&lt;&gt;"",1+MAX($A$5:A402),"")</f>
        <v/>
      </c>
      <c r="B403" s="79"/>
      <c r="C403" s="69"/>
      <c r="D403" s="95" t="s">
        <v>39</v>
      </c>
      <c r="E403" s="35">
        <f>ROUNDUP(G402/32,0)</f>
        <v>24</v>
      </c>
      <c r="F403" s="36"/>
      <c r="G403" s="37"/>
      <c r="H403" s="38"/>
      <c r="I403" s="19"/>
      <c r="J403" s="19"/>
      <c r="K403" s="31"/>
      <c r="L403" s="19"/>
      <c r="M403" s="32"/>
      <c r="N403" s="11"/>
      <c r="O403" s="11"/>
      <c r="P403" s="54"/>
      <c r="Q403" s="39"/>
      <c r="R403" s="39"/>
      <c r="U403" s="41"/>
    </row>
    <row r="404" spans="1:21" s="40" customFormat="1" ht="16.8" customHeight="1">
      <c r="A404" s="33" t="str">
        <f>IF(H404&lt;&gt;"",1+MAX($A$5:A403),"")</f>
        <v/>
      </c>
      <c r="B404" s="79"/>
      <c r="C404" s="69"/>
      <c r="D404" s="95" t="s">
        <v>33</v>
      </c>
      <c r="E404" s="35">
        <f>E403*48</f>
        <v>1152</v>
      </c>
      <c r="F404" s="36"/>
      <c r="G404" s="37"/>
      <c r="H404" s="38"/>
      <c r="I404" s="19"/>
      <c r="J404" s="19"/>
      <c r="K404" s="31"/>
      <c r="L404" s="19"/>
      <c r="M404" s="32"/>
      <c r="N404" s="11"/>
      <c r="O404" s="11"/>
      <c r="P404" s="54"/>
      <c r="Q404" s="39"/>
      <c r="R404" s="39"/>
      <c r="U404" s="41"/>
    </row>
    <row r="405" spans="1:21" s="40" customFormat="1" ht="16.8" customHeight="1">
      <c r="A405" s="33" t="str">
        <f>IF(H405&lt;&gt;"",1+MAX($A$5:A404),"")</f>
        <v/>
      </c>
      <c r="B405" s="79"/>
      <c r="C405" s="69"/>
      <c r="D405" s="95" t="s">
        <v>34</v>
      </c>
      <c r="E405" s="35">
        <f>E403</f>
        <v>24</v>
      </c>
      <c r="F405" s="36"/>
      <c r="G405" s="37"/>
      <c r="H405" s="38"/>
      <c r="I405" s="19"/>
      <c r="J405" s="19"/>
      <c r="K405" s="31"/>
      <c r="L405" s="19"/>
      <c r="M405" s="32"/>
      <c r="N405" s="11"/>
      <c r="O405" s="11"/>
      <c r="P405" s="54"/>
      <c r="Q405" s="39"/>
      <c r="R405" s="39"/>
      <c r="U405" s="41"/>
    </row>
    <row r="406" spans="1:21" s="40" customFormat="1" ht="16.8" customHeight="1">
      <c r="A406" s="33" t="str">
        <f>IF(H406&lt;&gt;"",1+MAX($A$5:A405),"")</f>
        <v/>
      </c>
      <c r="B406" s="79"/>
      <c r="C406" s="69"/>
      <c r="D406" s="95" t="s">
        <v>35</v>
      </c>
      <c r="E406" s="35">
        <f>E403*14</f>
        <v>336</v>
      </c>
      <c r="F406" s="36"/>
      <c r="G406" s="37"/>
      <c r="H406" s="38"/>
      <c r="I406" s="19"/>
      <c r="J406" s="19"/>
      <c r="K406" s="31"/>
      <c r="L406" s="19"/>
      <c r="M406" s="32"/>
      <c r="N406" s="11"/>
      <c r="O406" s="11"/>
      <c r="P406" s="54"/>
      <c r="Q406" s="39"/>
      <c r="R406" s="39"/>
      <c r="U406" s="41"/>
    </row>
    <row r="407" spans="1:21" s="40" customFormat="1" ht="16.8" customHeight="1">
      <c r="A407" s="33">
        <f>IF(H407&lt;&gt;"",1+MAX($A$5:A406),"")</f>
        <v>289</v>
      </c>
      <c r="B407" s="79"/>
      <c r="C407" s="69"/>
      <c r="D407" s="27" t="s">
        <v>309</v>
      </c>
      <c r="E407" s="35">
        <v>1550</v>
      </c>
      <c r="F407" s="36">
        <v>0.1</v>
      </c>
      <c r="G407" s="37">
        <f>(1+F407)*E407</f>
        <v>1705.0000000000002</v>
      </c>
      <c r="H407" s="38" t="s">
        <v>32</v>
      </c>
      <c r="I407" s="19">
        <v>0.87951999999999997</v>
      </c>
      <c r="J407" s="19">
        <f t="shared" ref="J407" si="283">G407*I407</f>
        <v>1499.5816000000002</v>
      </c>
      <c r="K407" s="31">
        <v>0.02</v>
      </c>
      <c r="L407" s="19">
        <f>$O$379</f>
        <v>45</v>
      </c>
      <c r="M407" s="32">
        <f t="shared" ref="M407" si="284">K407*G407</f>
        <v>34.100000000000009</v>
      </c>
      <c r="N407" s="11">
        <f t="shared" ref="N407" si="285">M407*L407</f>
        <v>1534.5000000000005</v>
      </c>
      <c r="O407" s="11">
        <f t="shared" ref="O407" si="286">N407+J407</f>
        <v>3034.0816000000004</v>
      </c>
      <c r="P407" s="54"/>
      <c r="Q407" s="39"/>
      <c r="R407" s="39"/>
      <c r="U407" s="41"/>
    </row>
    <row r="408" spans="1:21" s="40" customFormat="1" ht="16.8" customHeight="1">
      <c r="A408" s="33" t="str">
        <f>IF(H408&lt;&gt;"",1+MAX($A$5:A407),"")</f>
        <v/>
      </c>
      <c r="B408" s="79"/>
      <c r="C408" s="69"/>
      <c r="D408" s="95" t="s">
        <v>39</v>
      </c>
      <c r="E408" s="35">
        <f>ROUNDUP(G407/32,0)</f>
        <v>54</v>
      </c>
      <c r="F408" s="36"/>
      <c r="G408" s="37"/>
      <c r="H408" s="38"/>
      <c r="I408" s="19"/>
      <c r="J408" s="19"/>
      <c r="K408" s="31"/>
      <c r="L408" s="19"/>
      <c r="M408" s="32"/>
      <c r="N408" s="11"/>
      <c r="O408" s="11"/>
      <c r="P408" s="54"/>
      <c r="Q408" s="39"/>
      <c r="R408" s="39"/>
      <c r="U408" s="41"/>
    </row>
    <row r="409" spans="1:21" s="40" customFormat="1" ht="16.8" customHeight="1">
      <c r="A409" s="33" t="str">
        <f>IF(H409&lt;&gt;"",1+MAX($A$5:A408),"")</f>
        <v/>
      </c>
      <c r="B409" s="79"/>
      <c r="C409" s="69"/>
      <c r="D409" s="95" t="s">
        <v>33</v>
      </c>
      <c r="E409" s="35">
        <f>E408*48</f>
        <v>2592</v>
      </c>
      <c r="F409" s="36"/>
      <c r="G409" s="37"/>
      <c r="H409" s="38"/>
      <c r="I409" s="19"/>
      <c r="J409" s="19"/>
      <c r="K409" s="31"/>
      <c r="L409" s="19"/>
      <c r="M409" s="32"/>
      <c r="N409" s="11"/>
      <c r="O409" s="11"/>
      <c r="P409" s="54"/>
      <c r="Q409" s="39"/>
      <c r="R409" s="39"/>
      <c r="U409" s="41"/>
    </row>
    <row r="410" spans="1:21" s="40" customFormat="1" ht="16.8" customHeight="1">
      <c r="A410" s="33" t="str">
        <f>IF(H410&lt;&gt;"",1+MAX($A$5:A409),"")</f>
        <v/>
      </c>
      <c r="B410" s="79"/>
      <c r="C410" s="69"/>
      <c r="D410" s="95" t="s">
        <v>34</v>
      </c>
      <c r="E410" s="35">
        <f>E408</f>
        <v>54</v>
      </c>
      <c r="F410" s="36"/>
      <c r="G410" s="37"/>
      <c r="H410" s="38"/>
      <c r="I410" s="19"/>
      <c r="J410" s="19"/>
      <c r="K410" s="31"/>
      <c r="L410" s="19"/>
      <c r="M410" s="32"/>
      <c r="N410" s="11"/>
      <c r="O410" s="11"/>
      <c r="P410" s="54"/>
      <c r="Q410" s="39"/>
      <c r="R410" s="39"/>
      <c r="U410" s="41"/>
    </row>
    <row r="411" spans="1:21" s="40" customFormat="1" ht="16.8" customHeight="1">
      <c r="A411" s="33" t="str">
        <f>IF(H411&lt;&gt;"",1+MAX($A$5:A410),"")</f>
        <v/>
      </c>
      <c r="B411" s="79"/>
      <c r="C411" s="69"/>
      <c r="D411" s="95" t="s">
        <v>35</v>
      </c>
      <c r="E411" s="35">
        <f>E408*14</f>
        <v>756</v>
      </c>
      <c r="F411" s="36"/>
      <c r="G411" s="37"/>
      <c r="H411" s="38"/>
      <c r="I411" s="19"/>
      <c r="J411" s="19"/>
      <c r="K411" s="31"/>
      <c r="L411" s="19"/>
      <c r="M411" s="32"/>
      <c r="N411" s="11"/>
      <c r="O411" s="11"/>
      <c r="P411" s="54"/>
      <c r="Q411" s="39"/>
      <c r="R411" s="39"/>
      <c r="U411" s="41"/>
    </row>
    <row r="412" spans="1:21" s="40" customFormat="1" ht="16.8" customHeight="1">
      <c r="A412" s="33">
        <f>IF(H412&lt;&gt;"",1+MAX($A$5:A411),"")</f>
        <v>290</v>
      </c>
      <c r="B412" s="79"/>
      <c r="C412" s="69"/>
      <c r="D412" s="27" t="s">
        <v>42</v>
      </c>
      <c r="E412" s="35">
        <f>31.58*8</f>
        <v>252.64</v>
      </c>
      <c r="F412" s="36">
        <v>0.1</v>
      </c>
      <c r="G412" s="37">
        <f>(1+F412)*E412</f>
        <v>277.904</v>
      </c>
      <c r="H412" s="38" t="s">
        <v>32</v>
      </c>
      <c r="I412" s="19">
        <v>1.1472</v>
      </c>
      <c r="J412" s="19">
        <f t="shared" ref="J412" si="287">G412*I412</f>
        <v>318.8114688</v>
      </c>
      <c r="K412" s="31">
        <v>0.02</v>
      </c>
      <c r="L412" s="19">
        <f>$O$379</f>
        <v>45</v>
      </c>
      <c r="M412" s="32">
        <f t="shared" ref="M412" si="288">K412*G412</f>
        <v>5.5580800000000004</v>
      </c>
      <c r="N412" s="11">
        <f t="shared" ref="N412" si="289">M412*L412</f>
        <v>250.11360000000002</v>
      </c>
      <c r="O412" s="11">
        <f t="shared" ref="O412" si="290">N412+J412</f>
        <v>568.92506879999996</v>
      </c>
      <c r="P412" s="54"/>
      <c r="Q412" s="39"/>
      <c r="R412" s="39"/>
      <c r="U412" s="41"/>
    </row>
    <row r="413" spans="1:21" s="40" customFormat="1" ht="16.8" customHeight="1">
      <c r="A413" s="33" t="str">
        <f>IF(H413&lt;&gt;"",1+MAX($A$5:A412),"")</f>
        <v/>
      </c>
      <c r="B413" s="79"/>
      <c r="C413" s="69"/>
      <c r="D413" s="95" t="s">
        <v>39</v>
      </c>
      <c r="E413" s="35">
        <f>ROUNDUP(G412/32,0)</f>
        <v>9</v>
      </c>
      <c r="F413" s="36"/>
      <c r="G413" s="37"/>
      <c r="H413" s="38"/>
      <c r="I413" s="19"/>
      <c r="J413" s="19"/>
      <c r="K413" s="31"/>
      <c r="L413" s="19"/>
      <c r="M413" s="32"/>
      <c r="N413" s="11"/>
      <c r="O413" s="11"/>
      <c r="P413" s="54"/>
      <c r="Q413" s="39"/>
      <c r="R413" s="39"/>
      <c r="U413" s="41"/>
    </row>
    <row r="414" spans="1:21" s="40" customFormat="1" ht="16.8" customHeight="1">
      <c r="A414" s="33" t="str">
        <f>IF(H414&lt;&gt;"",1+MAX($A$5:A413),"")</f>
        <v/>
      </c>
      <c r="B414" s="79"/>
      <c r="C414" s="69"/>
      <c r="D414" s="95" t="s">
        <v>33</v>
      </c>
      <c r="E414" s="35">
        <f>E413*48</f>
        <v>432</v>
      </c>
      <c r="F414" s="36"/>
      <c r="G414" s="37"/>
      <c r="H414" s="38"/>
      <c r="I414" s="19"/>
      <c r="J414" s="19"/>
      <c r="K414" s="31"/>
      <c r="L414" s="19"/>
      <c r="M414" s="32"/>
      <c r="N414" s="11"/>
      <c r="O414" s="11"/>
      <c r="P414" s="54"/>
      <c r="Q414" s="39"/>
      <c r="R414" s="39"/>
      <c r="U414" s="41"/>
    </row>
    <row r="415" spans="1:21" s="40" customFormat="1" ht="16.8" customHeight="1">
      <c r="A415" s="33" t="str">
        <f>IF(H415&lt;&gt;"",1+MAX($A$5:A414),"")</f>
        <v/>
      </c>
      <c r="B415" s="79"/>
      <c r="C415" s="69"/>
      <c r="D415" s="95" t="s">
        <v>34</v>
      </c>
      <c r="E415" s="35">
        <f>E413</f>
        <v>9</v>
      </c>
      <c r="F415" s="36"/>
      <c r="G415" s="37"/>
      <c r="H415" s="38"/>
      <c r="I415" s="19"/>
      <c r="J415" s="19"/>
      <c r="K415" s="31"/>
      <c r="L415" s="19"/>
      <c r="M415" s="32"/>
      <c r="N415" s="11"/>
      <c r="O415" s="11"/>
      <c r="P415" s="54"/>
      <c r="Q415" s="39"/>
      <c r="R415" s="39"/>
      <c r="U415" s="41"/>
    </row>
    <row r="416" spans="1:21" s="40" customFormat="1" ht="16.8" customHeight="1">
      <c r="A416" s="33" t="str">
        <f>IF(H416&lt;&gt;"",1+MAX($A$5:A415),"")</f>
        <v/>
      </c>
      <c r="B416" s="79"/>
      <c r="C416" s="69"/>
      <c r="D416" s="95" t="s">
        <v>35</v>
      </c>
      <c r="E416" s="35">
        <f>E413*14</f>
        <v>126</v>
      </c>
      <c r="F416" s="36"/>
      <c r="G416" s="37"/>
      <c r="H416" s="38"/>
      <c r="I416" s="19"/>
      <c r="J416" s="19"/>
      <c r="K416" s="31"/>
      <c r="L416" s="19"/>
      <c r="M416" s="32"/>
      <c r="N416" s="11"/>
      <c r="O416" s="11"/>
      <c r="P416" s="54"/>
      <c r="Q416" s="39"/>
      <c r="R416" s="39"/>
      <c r="U416" s="41"/>
    </row>
    <row r="417" spans="1:21" s="40" customFormat="1" ht="16.8" customHeight="1">
      <c r="A417" s="33">
        <f>IF(H417&lt;&gt;"",1+MAX($A$5:A416),"")</f>
        <v>291</v>
      </c>
      <c r="B417" s="79"/>
      <c r="C417" s="69"/>
      <c r="D417" s="27" t="s">
        <v>310</v>
      </c>
      <c r="E417" s="35">
        <v>2226</v>
      </c>
      <c r="F417" s="36">
        <v>0.1</v>
      </c>
      <c r="G417" s="37">
        <f>(1+F417)*E417</f>
        <v>2448.6000000000004</v>
      </c>
      <c r="H417" s="38" t="s">
        <v>32</v>
      </c>
      <c r="I417" s="19">
        <v>2.0585866666666668</v>
      </c>
      <c r="J417" s="19">
        <f t="shared" ref="J417:J420" si="291">G417*I417</f>
        <v>5040.6553120000008</v>
      </c>
      <c r="K417" s="31">
        <f>(0.016/12)*8</f>
        <v>1.0666666666666666E-2</v>
      </c>
      <c r="L417" s="19">
        <f t="shared" ref="L417:L420" si="292">$O$379</f>
        <v>45</v>
      </c>
      <c r="M417" s="32">
        <f t="shared" ref="M417:M420" si="293">K417*G417</f>
        <v>26.118400000000005</v>
      </c>
      <c r="N417" s="11">
        <f t="shared" ref="N417:N420" si="294">M417*L417</f>
        <v>1175.3280000000002</v>
      </c>
      <c r="O417" s="11">
        <f t="shared" ref="O417:O420" si="295">N417+J417</f>
        <v>6215.9833120000012</v>
      </c>
      <c r="P417" s="54"/>
      <c r="Q417" s="39"/>
      <c r="R417" s="39"/>
      <c r="U417" s="41"/>
    </row>
    <row r="418" spans="1:21" s="40" customFormat="1" ht="16.8" customHeight="1">
      <c r="A418" s="33">
        <f>IF(H418&lt;&gt;"",1+MAX($A$5:A417),"")</f>
        <v>292</v>
      </c>
      <c r="B418" s="79"/>
      <c r="C418" s="69"/>
      <c r="D418" s="27" t="s">
        <v>311</v>
      </c>
      <c r="E418" s="35">
        <v>2226</v>
      </c>
      <c r="F418" s="36">
        <v>0.1</v>
      </c>
      <c r="G418" s="37">
        <f>(1+F418)*E418</f>
        <v>2448.6000000000004</v>
      </c>
      <c r="H418" s="38" t="s">
        <v>32</v>
      </c>
      <c r="I418" s="19">
        <v>0.59272000000000002</v>
      </c>
      <c r="J418" s="19">
        <f t="shared" si="291"/>
        <v>1451.3341920000003</v>
      </c>
      <c r="K418" s="31">
        <v>8.9999999999999993E-3</v>
      </c>
      <c r="L418" s="19">
        <f t="shared" si="292"/>
        <v>45</v>
      </c>
      <c r="M418" s="32">
        <f t="shared" si="293"/>
        <v>22.037400000000002</v>
      </c>
      <c r="N418" s="11">
        <f t="shared" si="294"/>
        <v>991.68300000000011</v>
      </c>
      <c r="O418" s="11">
        <f t="shared" si="295"/>
        <v>2443.0171920000003</v>
      </c>
      <c r="P418" s="54"/>
      <c r="Q418" s="39"/>
      <c r="R418" s="39"/>
      <c r="U418" s="41"/>
    </row>
    <row r="419" spans="1:21" s="40" customFormat="1" ht="16.8" customHeight="1">
      <c r="A419" s="33">
        <f>IF(H419&lt;&gt;"",1+MAX($A$5:A418),"")</f>
        <v>293</v>
      </c>
      <c r="B419" s="79"/>
      <c r="C419" s="69"/>
      <c r="D419" s="27" t="s">
        <v>40</v>
      </c>
      <c r="E419" s="35">
        <f>257.55*2</f>
        <v>515.1</v>
      </c>
      <c r="F419" s="36">
        <v>0.1</v>
      </c>
      <c r="G419" s="37">
        <f>(1+F419)*E419</f>
        <v>566.61000000000013</v>
      </c>
      <c r="H419" s="38" t="s">
        <v>4</v>
      </c>
      <c r="I419" s="19">
        <v>0.37284</v>
      </c>
      <c r="J419" s="19">
        <f t="shared" si="291"/>
        <v>211.25487240000004</v>
      </c>
      <c r="K419" s="31">
        <v>6.6699999999999997E-3</v>
      </c>
      <c r="L419" s="19">
        <f t="shared" si="292"/>
        <v>45</v>
      </c>
      <c r="M419" s="32">
        <f t="shared" si="293"/>
        <v>3.7792887000000008</v>
      </c>
      <c r="N419" s="11">
        <f t="shared" si="294"/>
        <v>170.06799150000003</v>
      </c>
      <c r="O419" s="11">
        <f t="shared" si="295"/>
        <v>381.32286390000007</v>
      </c>
      <c r="P419" s="54"/>
      <c r="Q419" s="39"/>
      <c r="R419" s="39"/>
      <c r="U419" s="41"/>
    </row>
    <row r="420" spans="1:21" s="40" customFormat="1" ht="16.8" customHeight="1">
      <c r="A420" s="33">
        <f>IF(H420&lt;&gt;"",1+MAX($A$5:A419),"")</f>
        <v>294</v>
      </c>
      <c r="B420" s="79"/>
      <c r="C420" s="69"/>
      <c r="D420" s="27" t="s">
        <v>43</v>
      </c>
      <c r="E420" s="35">
        <v>71.12</v>
      </c>
      <c r="F420" s="36">
        <v>0.1</v>
      </c>
      <c r="G420" s="37">
        <f>(1+F420)*E420</f>
        <v>78.232000000000014</v>
      </c>
      <c r="H420" s="38" t="s">
        <v>4</v>
      </c>
      <c r="I420" s="19">
        <v>1.5296000000000001</v>
      </c>
      <c r="J420" s="19">
        <f t="shared" si="291"/>
        <v>119.66366720000002</v>
      </c>
      <c r="K420" s="31">
        <v>0.02</v>
      </c>
      <c r="L420" s="19">
        <f t="shared" si="292"/>
        <v>45</v>
      </c>
      <c r="M420" s="32">
        <f t="shared" si="293"/>
        <v>1.5646400000000003</v>
      </c>
      <c r="N420" s="11">
        <f t="shared" si="294"/>
        <v>70.408800000000014</v>
      </c>
      <c r="O420" s="11">
        <f t="shared" si="295"/>
        <v>190.07246720000003</v>
      </c>
      <c r="P420" s="54"/>
      <c r="Q420" s="39"/>
      <c r="R420" s="39"/>
      <c r="U420" s="41"/>
    </row>
    <row r="421" spans="1:21" s="40" customFormat="1" ht="16.8" customHeight="1">
      <c r="A421" s="33" t="str">
        <f>IF(H421&lt;&gt;"",1+MAX($A$5:A420),"")</f>
        <v/>
      </c>
      <c r="B421" s="79"/>
      <c r="C421" s="69"/>
      <c r="D421" s="27" t="s">
        <v>96</v>
      </c>
      <c r="E421" s="35"/>
      <c r="F421" s="36"/>
      <c r="G421" s="37"/>
      <c r="H421" s="38"/>
      <c r="I421" s="19"/>
      <c r="J421" s="19"/>
      <c r="K421" s="31"/>
      <c r="L421" s="19"/>
      <c r="M421" s="32"/>
      <c r="N421" s="11"/>
      <c r="O421" s="11"/>
      <c r="P421" s="54"/>
      <c r="Q421" s="39"/>
      <c r="R421" s="39"/>
      <c r="U421" s="41"/>
    </row>
    <row r="422" spans="1:21" s="40" customFormat="1" ht="16.8" customHeight="1">
      <c r="A422" s="33" t="str">
        <f>IF(H422&lt;&gt;"",1+MAX($A$5:A421),"")</f>
        <v/>
      </c>
      <c r="B422" s="79"/>
      <c r="C422" s="69"/>
      <c r="D422" s="94" t="s">
        <v>312</v>
      </c>
      <c r="E422" s="35"/>
      <c r="F422" s="36"/>
      <c r="G422" s="37"/>
      <c r="H422" s="38"/>
      <c r="I422" s="19"/>
      <c r="J422" s="19"/>
      <c r="K422" s="31"/>
      <c r="L422" s="19"/>
      <c r="M422" s="32"/>
      <c r="N422" s="11"/>
      <c r="O422" s="11"/>
      <c r="P422" s="54"/>
      <c r="Q422" s="39"/>
      <c r="R422" s="39"/>
      <c r="U422" s="41"/>
    </row>
    <row r="423" spans="1:21" s="40" customFormat="1" ht="16.8" customHeight="1">
      <c r="A423" s="33">
        <f>IF(H423&lt;&gt;"",1+MAX($A$5:A422),"")</f>
        <v>295</v>
      </c>
      <c r="B423" s="79"/>
      <c r="C423" s="69"/>
      <c r="D423" s="27" t="s">
        <v>41</v>
      </c>
      <c r="E423" s="35">
        <v>458</v>
      </c>
      <c r="F423" s="36">
        <v>0.1</v>
      </c>
      <c r="G423" s="37">
        <f>(1+F423)*E423</f>
        <v>503.80000000000007</v>
      </c>
      <c r="H423" s="38" t="s">
        <v>32</v>
      </c>
      <c r="I423" s="19">
        <v>1.28104</v>
      </c>
      <c r="J423" s="19">
        <f t="shared" ref="J423" si="296">G423*I423</f>
        <v>645.38795200000004</v>
      </c>
      <c r="K423" s="31">
        <v>0.02</v>
      </c>
      <c r="L423" s="19">
        <f>$O$379</f>
        <v>45</v>
      </c>
      <c r="M423" s="32">
        <f t="shared" ref="M423" si="297">K423*G423</f>
        <v>10.076000000000002</v>
      </c>
      <c r="N423" s="11">
        <f t="shared" ref="N423" si="298">M423*L423</f>
        <v>453.42000000000013</v>
      </c>
      <c r="O423" s="11">
        <f t="shared" ref="O423" si="299">N423+J423</f>
        <v>1098.8079520000001</v>
      </c>
      <c r="P423" s="54"/>
      <c r="Q423" s="39"/>
      <c r="R423" s="39"/>
      <c r="U423" s="41"/>
    </row>
    <row r="424" spans="1:21" s="40" customFormat="1" ht="16.8" customHeight="1">
      <c r="A424" s="33" t="str">
        <f>IF(H424&lt;&gt;"",1+MAX($A$5:A423),"")</f>
        <v/>
      </c>
      <c r="B424" s="79"/>
      <c r="C424" s="69"/>
      <c r="D424" s="95" t="s">
        <v>39</v>
      </c>
      <c r="E424" s="35">
        <f>ROUNDUP(G423/32,0)</f>
        <v>16</v>
      </c>
      <c r="F424" s="36"/>
      <c r="G424" s="37"/>
      <c r="H424" s="38"/>
      <c r="I424" s="19"/>
      <c r="J424" s="19"/>
      <c r="K424" s="31"/>
      <c r="L424" s="19"/>
      <c r="M424" s="32"/>
      <c r="N424" s="11"/>
      <c r="O424" s="11"/>
      <c r="P424" s="54"/>
      <c r="Q424" s="39"/>
      <c r="R424" s="39"/>
      <c r="U424" s="41"/>
    </row>
    <row r="425" spans="1:21" s="40" customFormat="1" ht="16.8" customHeight="1">
      <c r="A425" s="33" t="str">
        <f>IF(H425&lt;&gt;"",1+MAX($A$5:A424),"")</f>
        <v/>
      </c>
      <c r="B425" s="79"/>
      <c r="C425" s="69"/>
      <c r="D425" s="95" t="s">
        <v>33</v>
      </c>
      <c r="E425" s="35">
        <f>E424*48</f>
        <v>768</v>
      </c>
      <c r="F425" s="36"/>
      <c r="G425" s="37"/>
      <c r="H425" s="38"/>
      <c r="I425" s="19"/>
      <c r="J425" s="19"/>
      <c r="K425" s="31"/>
      <c r="L425" s="19"/>
      <c r="M425" s="32"/>
      <c r="N425" s="11"/>
      <c r="O425" s="11"/>
      <c r="P425" s="54"/>
      <c r="Q425" s="39"/>
      <c r="R425" s="39"/>
      <c r="U425" s="41"/>
    </row>
    <row r="426" spans="1:21" s="40" customFormat="1" ht="16.8" customHeight="1">
      <c r="A426" s="33" t="str">
        <f>IF(H426&lt;&gt;"",1+MAX($A$5:A425),"")</f>
        <v/>
      </c>
      <c r="B426" s="79"/>
      <c r="C426" s="69"/>
      <c r="D426" s="95" t="s">
        <v>34</v>
      </c>
      <c r="E426" s="35">
        <f>E424</f>
        <v>16</v>
      </c>
      <c r="F426" s="36"/>
      <c r="G426" s="37"/>
      <c r="H426" s="38"/>
      <c r="I426" s="19"/>
      <c r="J426" s="19"/>
      <c r="K426" s="31"/>
      <c r="L426" s="19"/>
      <c r="M426" s="32"/>
      <c r="N426" s="11"/>
      <c r="O426" s="11"/>
      <c r="P426" s="54"/>
      <c r="Q426" s="39"/>
      <c r="R426" s="39"/>
      <c r="U426" s="41"/>
    </row>
    <row r="427" spans="1:21" s="40" customFormat="1" ht="16.8" customHeight="1">
      <c r="A427" s="33" t="str">
        <f>IF(H427&lt;&gt;"",1+MAX($A$5:A426),"")</f>
        <v/>
      </c>
      <c r="B427" s="79"/>
      <c r="C427" s="69"/>
      <c r="D427" s="95" t="s">
        <v>35</v>
      </c>
      <c r="E427" s="35">
        <f>E424*14</f>
        <v>224</v>
      </c>
      <c r="F427" s="36"/>
      <c r="G427" s="37"/>
      <c r="H427" s="38"/>
      <c r="I427" s="19"/>
      <c r="J427" s="19"/>
      <c r="K427" s="31"/>
      <c r="L427" s="19"/>
      <c r="M427" s="32"/>
      <c r="N427" s="11"/>
      <c r="O427" s="11"/>
      <c r="P427" s="54"/>
      <c r="Q427" s="39"/>
      <c r="R427" s="39"/>
      <c r="U427" s="41"/>
    </row>
    <row r="428" spans="1:21" s="40" customFormat="1" ht="16.8" customHeight="1">
      <c r="A428" s="33">
        <f>IF(H428&lt;&gt;"",1+MAX($A$5:A427),"")</f>
        <v>296</v>
      </c>
      <c r="B428" s="79"/>
      <c r="C428" s="69"/>
      <c r="D428" s="27" t="s">
        <v>309</v>
      </c>
      <c r="E428" s="35">
        <v>458</v>
      </c>
      <c r="F428" s="36">
        <v>0.1</v>
      </c>
      <c r="G428" s="37">
        <f>(1+F428)*E428</f>
        <v>503.80000000000007</v>
      </c>
      <c r="H428" s="38" t="s">
        <v>32</v>
      </c>
      <c r="I428" s="19">
        <v>0.87951999999999997</v>
      </c>
      <c r="J428" s="19">
        <f t="shared" ref="J428" si="300">G428*I428</f>
        <v>443.10217600000004</v>
      </c>
      <c r="K428" s="31">
        <v>0.02</v>
      </c>
      <c r="L428" s="19">
        <f>$O$379</f>
        <v>45</v>
      </c>
      <c r="M428" s="32">
        <f t="shared" ref="M428" si="301">K428*G428</f>
        <v>10.076000000000002</v>
      </c>
      <c r="N428" s="11">
        <f t="shared" ref="N428" si="302">M428*L428</f>
        <v>453.42000000000013</v>
      </c>
      <c r="O428" s="11">
        <f t="shared" ref="O428" si="303">N428+J428</f>
        <v>896.52217600000017</v>
      </c>
      <c r="P428" s="54"/>
      <c r="Q428" s="39"/>
      <c r="R428" s="39"/>
      <c r="U428" s="41"/>
    </row>
    <row r="429" spans="1:21" s="40" customFormat="1" ht="16.8" customHeight="1">
      <c r="A429" s="33" t="str">
        <f>IF(H429&lt;&gt;"",1+MAX($A$5:A428),"")</f>
        <v/>
      </c>
      <c r="B429" s="79"/>
      <c r="C429" s="69"/>
      <c r="D429" s="95" t="s">
        <v>39</v>
      </c>
      <c r="E429" s="35">
        <f>ROUNDUP(G428/32,0)</f>
        <v>16</v>
      </c>
      <c r="F429" s="36"/>
      <c r="G429" s="37"/>
      <c r="H429" s="38"/>
      <c r="I429" s="19"/>
      <c r="J429" s="19"/>
      <c r="K429" s="31"/>
      <c r="L429" s="19"/>
      <c r="M429" s="32"/>
      <c r="N429" s="11"/>
      <c r="O429" s="11"/>
      <c r="P429" s="54"/>
      <c r="Q429" s="39"/>
      <c r="R429" s="39"/>
      <c r="U429" s="41"/>
    </row>
    <row r="430" spans="1:21" s="40" customFormat="1" ht="16.8" customHeight="1">
      <c r="A430" s="33" t="str">
        <f>IF(H430&lt;&gt;"",1+MAX($A$5:A429),"")</f>
        <v/>
      </c>
      <c r="B430" s="79"/>
      <c r="C430" s="69"/>
      <c r="D430" s="95" t="s">
        <v>33</v>
      </c>
      <c r="E430" s="35">
        <f>E429*48</f>
        <v>768</v>
      </c>
      <c r="F430" s="36"/>
      <c r="G430" s="37"/>
      <c r="H430" s="38"/>
      <c r="I430" s="19"/>
      <c r="J430" s="19"/>
      <c r="K430" s="31"/>
      <c r="L430" s="19"/>
      <c r="M430" s="32"/>
      <c r="N430" s="11"/>
      <c r="O430" s="11"/>
      <c r="P430" s="54"/>
      <c r="Q430" s="39"/>
      <c r="R430" s="39"/>
      <c r="U430" s="41"/>
    </row>
    <row r="431" spans="1:21" s="40" customFormat="1" ht="16.8" customHeight="1">
      <c r="A431" s="33" t="str">
        <f>IF(H431&lt;&gt;"",1+MAX($A$5:A430),"")</f>
        <v/>
      </c>
      <c r="B431" s="79"/>
      <c r="C431" s="69"/>
      <c r="D431" s="95" t="s">
        <v>34</v>
      </c>
      <c r="E431" s="35">
        <f>E429</f>
        <v>16</v>
      </c>
      <c r="F431" s="36"/>
      <c r="G431" s="37"/>
      <c r="H431" s="38"/>
      <c r="I431" s="19"/>
      <c r="J431" s="19"/>
      <c r="K431" s="31"/>
      <c r="L431" s="19"/>
      <c r="M431" s="32"/>
      <c r="N431" s="11"/>
      <c r="O431" s="11"/>
      <c r="P431" s="54"/>
      <c r="Q431" s="39"/>
      <c r="R431" s="39"/>
      <c r="U431" s="41"/>
    </row>
    <row r="432" spans="1:21" s="40" customFormat="1" ht="16.8" customHeight="1">
      <c r="A432" s="33" t="str">
        <f>IF(H432&lt;&gt;"",1+MAX($A$5:A431),"")</f>
        <v/>
      </c>
      <c r="B432" s="79"/>
      <c r="C432" s="69"/>
      <c r="D432" s="95" t="s">
        <v>35</v>
      </c>
      <c r="E432" s="35">
        <f>E429*14</f>
        <v>224</v>
      </c>
      <c r="F432" s="36"/>
      <c r="G432" s="37"/>
      <c r="H432" s="38"/>
      <c r="I432" s="19"/>
      <c r="J432" s="19"/>
      <c r="K432" s="31"/>
      <c r="L432" s="19"/>
      <c r="M432" s="32"/>
      <c r="N432" s="11"/>
      <c r="O432" s="11"/>
      <c r="P432" s="54"/>
      <c r="Q432" s="39"/>
      <c r="R432" s="39"/>
      <c r="U432" s="41"/>
    </row>
    <row r="433" spans="1:21" s="40" customFormat="1" ht="16.8" customHeight="1">
      <c r="A433" s="33">
        <f>IF(H433&lt;&gt;"",1+MAX($A$5:A432),"")</f>
        <v>297</v>
      </c>
      <c r="B433" s="79"/>
      <c r="C433" s="69"/>
      <c r="D433" s="27" t="s">
        <v>313</v>
      </c>
      <c r="E433" s="35">
        <v>458</v>
      </c>
      <c r="F433" s="36">
        <v>0.1</v>
      </c>
      <c r="G433" s="37">
        <f>(1+F433)*E433</f>
        <v>503.80000000000007</v>
      </c>
      <c r="H433" s="38" t="s">
        <v>32</v>
      </c>
      <c r="I433" s="19">
        <v>1.30016</v>
      </c>
      <c r="J433" s="19">
        <f t="shared" ref="J433:J435" si="304">G433*I433</f>
        <v>655.02060800000004</v>
      </c>
      <c r="K433" s="31">
        <v>2.1000000000000001E-2</v>
      </c>
      <c r="L433" s="19">
        <f t="shared" ref="L433:L435" si="305">$O$379</f>
        <v>45</v>
      </c>
      <c r="M433" s="32">
        <f t="shared" ref="M433:M435" si="306">K433*G433</f>
        <v>10.579800000000002</v>
      </c>
      <c r="N433" s="11">
        <f t="shared" ref="N433:N435" si="307">M433*L433</f>
        <v>476.09100000000012</v>
      </c>
      <c r="O433" s="11">
        <f t="shared" ref="O433:O435" si="308">N433+J433</f>
        <v>1131.1116080000002</v>
      </c>
      <c r="P433" s="54"/>
      <c r="Q433" s="39"/>
      <c r="R433" s="39"/>
      <c r="U433" s="41"/>
    </row>
    <row r="434" spans="1:21" s="40" customFormat="1" ht="16.8" customHeight="1">
      <c r="A434" s="33">
        <f>IF(H434&lt;&gt;"",1+MAX($A$5:A433),"")</f>
        <v>298</v>
      </c>
      <c r="B434" s="79"/>
      <c r="C434" s="69"/>
      <c r="D434" s="27" t="s">
        <v>314</v>
      </c>
      <c r="E434" s="35">
        <v>458</v>
      </c>
      <c r="F434" s="36">
        <v>0.1</v>
      </c>
      <c r="G434" s="37">
        <f>(1+F434)*E434</f>
        <v>503.80000000000007</v>
      </c>
      <c r="H434" s="38" t="s">
        <v>32</v>
      </c>
      <c r="I434" s="19">
        <v>0.59272000000000002</v>
      </c>
      <c r="J434" s="19">
        <f t="shared" si="304"/>
        <v>298.61233600000003</v>
      </c>
      <c r="K434" s="31">
        <v>8.9999999999999993E-3</v>
      </c>
      <c r="L434" s="19">
        <f t="shared" si="305"/>
        <v>45</v>
      </c>
      <c r="M434" s="32">
        <f t="shared" si="306"/>
        <v>4.5342000000000002</v>
      </c>
      <c r="N434" s="11">
        <f t="shared" si="307"/>
        <v>204.03900000000002</v>
      </c>
      <c r="O434" s="11">
        <f t="shared" si="308"/>
        <v>502.65133600000001</v>
      </c>
      <c r="P434" s="54"/>
      <c r="Q434" s="39"/>
      <c r="R434" s="39"/>
      <c r="U434" s="41"/>
    </row>
    <row r="435" spans="1:21" s="40" customFormat="1" ht="16.8" customHeight="1">
      <c r="A435" s="33">
        <f>IF(H435&lt;&gt;"",1+MAX($A$5:A434),"")</f>
        <v>299</v>
      </c>
      <c r="B435" s="79"/>
      <c r="C435" s="69"/>
      <c r="D435" s="27" t="s">
        <v>40</v>
      </c>
      <c r="E435" s="35">
        <f>2*53.32</f>
        <v>106.64</v>
      </c>
      <c r="F435" s="36">
        <v>0.1</v>
      </c>
      <c r="G435" s="37">
        <f>(1+F435)*E435</f>
        <v>117.30400000000002</v>
      </c>
      <c r="H435" s="38" t="s">
        <v>4</v>
      </c>
      <c r="I435" s="19">
        <v>0.37284</v>
      </c>
      <c r="J435" s="19">
        <f t="shared" si="304"/>
        <v>43.735623360000005</v>
      </c>
      <c r="K435" s="31">
        <v>6.6699999999999997E-3</v>
      </c>
      <c r="L435" s="19">
        <f t="shared" si="305"/>
        <v>45</v>
      </c>
      <c r="M435" s="32">
        <f t="shared" si="306"/>
        <v>0.78241768000000012</v>
      </c>
      <c r="N435" s="11">
        <f t="shared" si="307"/>
        <v>35.208795600000002</v>
      </c>
      <c r="O435" s="11">
        <f t="shared" si="308"/>
        <v>78.944418960000007</v>
      </c>
      <c r="P435" s="54"/>
      <c r="Q435" s="39"/>
      <c r="R435" s="39"/>
      <c r="U435" s="41"/>
    </row>
    <row r="436" spans="1:21" s="40" customFormat="1" ht="16.8" customHeight="1">
      <c r="A436" s="33" t="str">
        <f>IF(H436&lt;&gt;"",1+MAX($A$5:A435),"")</f>
        <v/>
      </c>
      <c r="B436" s="79"/>
      <c r="C436" s="69"/>
      <c r="D436" s="27" t="s">
        <v>96</v>
      </c>
      <c r="E436" s="35"/>
      <c r="F436" s="36"/>
      <c r="G436" s="37"/>
      <c r="H436" s="38"/>
      <c r="I436" s="19"/>
      <c r="J436" s="19"/>
      <c r="K436" s="31"/>
      <c r="L436" s="19"/>
      <c r="M436" s="32"/>
      <c r="N436" s="11"/>
      <c r="O436" s="11"/>
      <c r="P436" s="54"/>
      <c r="Q436" s="39"/>
      <c r="R436" s="39"/>
      <c r="U436" s="41"/>
    </row>
    <row r="437" spans="1:21" s="40" customFormat="1" ht="16.8" customHeight="1">
      <c r="A437" s="33" t="str">
        <f>IF(H437&lt;&gt;"",1+MAX($A$5:A436),"")</f>
        <v/>
      </c>
      <c r="B437" s="79"/>
      <c r="C437" s="69"/>
      <c r="D437" s="94" t="s">
        <v>315</v>
      </c>
      <c r="E437" s="35"/>
      <c r="F437" s="36"/>
      <c r="G437" s="37"/>
      <c r="H437" s="38"/>
      <c r="I437" s="19"/>
      <c r="J437" s="19"/>
      <c r="K437" s="31"/>
      <c r="L437" s="19"/>
      <c r="M437" s="32"/>
      <c r="N437" s="11"/>
      <c r="O437" s="11"/>
      <c r="P437" s="54"/>
      <c r="Q437" s="39"/>
      <c r="R437" s="39"/>
      <c r="U437" s="41"/>
    </row>
    <row r="438" spans="1:21" s="40" customFormat="1" ht="16.8" customHeight="1">
      <c r="A438" s="33">
        <f>IF(H438&lt;&gt;"",1+MAX($A$5:A437),"")</f>
        <v>300</v>
      </c>
      <c r="B438" s="79"/>
      <c r="C438" s="69"/>
      <c r="D438" s="27" t="s">
        <v>309</v>
      </c>
      <c r="E438" s="35">
        <v>35</v>
      </c>
      <c r="F438" s="36">
        <v>0.1</v>
      </c>
      <c r="G438" s="37">
        <f>(1+F438)*E438</f>
        <v>38.5</v>
      </c>
      <c r="H438" s="38" t="s">
        <v>32</v>
      </c>
      <c r="I438" s="19">
        <v>0.87951999999999997</v>
      </c>
      <c r="J438" s="19">
        <f t="shared" ref="J438" si="309">G438*I438</f>
        <v>33.861519999999999</v>
      </c>
      <c r="K438" s="31">
        <v>0.02</v>
      </c>
      <c r="L438" s="19">
        <f>$O$379</f>
        <v>45</v>
      </c>
      <c r="M438" s="32">
        <f t="shared" ref="M438" si="310">K438*G438</f>
        <v>0.77</v>
      </c>
      <c r="N438" s="11">
        <f t="shared" ref="N438" si="311">M438*L438</f>
        <v>34.65</v>
      </c>
      <c r="O438" s="11">
        <f t="shared" ref="O438" si="312">N438+J438</f>
        <v>68.51151999999999</v>
      </c>
      <c r="P438" s="54"/>
      <c r="Q438" s="39"/>
      <c r="R438" s="39"/>
      <c r="U438" s="41"/>
    </row>
    <row r="439" spans="1:21" s="40" customFormat="1" ht="16.8" customHeight="1">
      <c r="A439" s="33" t="str">
        <f>IF(H439&lt;&gt;"",1+MAX($A$5:A438),"")</f>
        <v/>
      </c>
      <c r="B439" s="79"/>
      <c r="C439" s="69"/>
      <c r="D439" s="95" t="s">
        <v>39</v>
      </c>
      <c r="E439" s="35">
        <f>ROUNDUP(G438/32,0)</f>
        <v>2</v>
      </c>
      <c r="F439" s="36"/>
      <c r="G439" s="37"/>
      <c r="H439" s="38"/>
      <c r="I439" s="19"/>
      <c r="J439" s="19"/>
      <c r="K439" s="31"/>
      <c r="L439" s="19"/>
      <c r="M439" s="32"/>
      <c r="N439" s="11"/>
      <c r="O439" s="11"/>
      <c r="P439" s="54"/>
      <c r="Q439" s="39"/>
      <c r="R439" s="39"/>
      <c r="U439" s="41"/>
    </row>
    <row r="440" spans="1:21" s="40" customFormat="1" ht="16.8" customHeight="1">
      <c r="A440" s="33" t="str">
        <f>IF(H440&lt;&gt;"",1+MAX($A$5:A439),"")</f>
        <v/>
      </c>
      <c r="B440" s="79"/>
      <c r="C440" s="69"/>
      <c r="D440" s="95" t="s">
        <v>33</v>
      </c>
      <c r="E440" s="35">
        <f>E439*48</f>
        <v>96</v>
      </c>
      <c r="F440" s="36"/>
      <c r="G440" s="37"/>
      <c r="H440" s="38"/>
      <c r="I440" s="19"/>
      <c r="J440" s="19"/>
      <c r="K440" s="31"/>
      <c r="L440" s="19"/>
      <c r="M440" s="32"/>
      <c r="N440" s="11"/>
      <c r="O440" s="11"/>
      <c r="P440" s="54"/>
      <c r="Q440" s="39"/>
      <c r="R440" s="39"/>
      <c r="U440" s="41"/>
    </row>
    <row r="441" spans="1:21" s="40" customFormat="1" ht="16.8" customHeight="1">
      <c r="A441" s="33" t="str">
        <f>IF(H441&lt;&gt;"",1+MAX($A$5:A440),"")</f>
        <v/>
      </c>
      <c r="B441" s="79"/>
      <c r="C441" s="69"/>
      <c r="D441" s="95" t="s">
        <v>34</v>
      </c>
      <c r="E441" s="35">
        <f>E439</f>
        <v>2</v>
      </c>
      <c r="F441" s="36"/>
      <c r="G441" s="37"/>
      <c r="H441" s="38"/>
      <c r="I441" s="19"/>
      <c r="J441" s="19"/>
      <c r="K441" s="31"/>
      <c r="L441" s="19"/>
      <c r="M441" s="32"/>
      <c r="N441" s="11"/>
      <c r="O441" s="11"/>
      <c r="P441" s="54"/>
      <c r="Q441" s="39"/>
      <c r="R441" s="39"/>
      <c r="U441" s="41"/>
    </row>
    <row r="442" spans="1:21" s="40" customFormat="1" ht="16.8" customHeight="1">
      <c r="A442" s="33" t="str">
        <f>IF(H442&lt;&gt;"",1+MAX($A$5:A441),"")</f>
        <v/>
      </c>
      <c r="B442" s="79"/>
      <c r="C442" s="69"/>
      <c r="D442" s="95" t="s">
        <v>35</v>
      </c>
      <c r="E442" s="35">
        <f>E439*14</f>
        <v>28</v>
      </c>
      <c r="F442" s="36"/>
      <c r="G442" s="37"/>
      <c r="H442" s="38"/>
      <c r="I442" s="19"/>
      <c r="J442" s="19"/>
      <c r="K442" s="31"/>
      <c r="L442" s="19"/>
      <c r="M442" s="32"/>
      <c r="N442" s="11"/>
      <c r="O442" s="11"/>
      <c r="P442" s="54"/>
      <c r="Q442" s="39"/>
      <c r="R442" s="39"/>
      <c r="U442" s="41"/>
    </row>
    <row r="443" spans="1:21" s="40" customFormat="1" ht="16.8" customHeight="1">
      <c r="A443" s="33">
        <f>IF(H443&lt;&gt;"",1+MAX($A$5:A442),"")</f>
        <v>301</v>
      </c>
      <c r="B443" s="79"/>
      <c r="C443" s="69"/>
      <c r="D443" s="27" t="s">
        <v>316</v>
      </c>
      <c r="E443" s="35">
        <v>35</v>
      </c>
      <c r="F443" s="36">
        <v>0.1</v>
      </c>
      <c r="G443" s="37">
        <f>(1+F443)*E443</f>
        <v>38.5</v>
      </c>
      <c r="H443" s="38" t="s">
        <v>32</v>
      </c>
      <c r="I443" s="19">
        <v>0.74568000000000001</v>
      </c>
      <c r="J443" s="19">
        <f t="shared" ref="J443:J445" si="313">G443*I443</f>
        <v>28.708680000000001</v>
      </c>
      <c r="K443" s="31">
        <v>1.4999999999999999E-2</v>
      </c>
      <c r="L443" s="19">
        <f t="shared" ref="L443:L445" si="314">$O$379</f>
        <v>45</v>
      </c>
      <c r="M443" s="32">
        <f t="shared" ref="M443:M445" si="315">K443*G443</f>
        <v>0.57750000000000001</v>
      </c>
      <c r="N443" s="11">
        <f t="shared" ref="N443:N445" si="316">M443*L443</f>
        <v>25.987500000000001</v>
      </c>
      <c r="O443" s="11">
        <f t="shared" ref="O443:O445" si="317">N443+J443</f>
        <v>54.696179999999998</v>
      </c>
      <c r="P443" s="54"/>
      <c r="Q443" s="39"/>
      <c r="R443" s="39"/>
      <c r="U443" s="41"/>
    </row>
    <row r="444" spans="1:21" s="40" customFormat="1" ht="16.8" customHeight="1">
      <c r="A444" s="33">
        <f>IF(H444&lt;&gt;"",1+MAX($A$5:A443),"")</f>
        <v>302</v>
      </c>
      <c r="B444" s="79"/>
      <c r="C444" s="69"/>
      <c r="D444" s="27" t="s">
        <v>317</v>
      </c>
      <c r="E444" s="35">
        <v>35</v>
      </c>
      <c r="F444" s="36">
        <v>0.1</v>
      </c>
      <c r="G444" s="37">
        <f>(1+F444)*E444</f>
        <v>38.5</v>
      </c>
      <c r="H444" s="38" t="s">
        <v>32</v>
      </c>
      <c r="I444" s="19">
        <v>0.59272000000000002</v>
      </c>
      <c r="J444" s="19">
        <f t="shared" si="313"/>
        <v>22.81972</v>
      </c>
      <c r="K444" s="31">
        <v>8.9999999999999993E-3</v>
      </c>
      <c r="L444" s="19">
        <f t="shared" si="314"/>
        <v>45</v>
      </c>
      <c r="M444" s="32">
        <f t="shared" si="315"/>
        <v>0.34649999999999997</v>
      </c>
      <c r="N444" s="11">
        <f t="shared" si="316"/>
        <v>15.592499999999999</v>
      </c>
      <c r="O444" s="11">
        <f t="shared" si="317"/>
        <v>38.412219999999998</v>
      </c>
      <c r="P444" s="54"/>
      <c r="Q444" s="39"/>
      <c r="R444" s="39"/>
      <c r="U444" s="41"/>
    </row>
    <row r="445" spans="1:21" s="40" customFormat="1" ht="16.8" customHeight="1">
      <c r="A445" s="33">
        <f>IF(H445&lt;&gt;"",1+MAX($A$5:A444),"")</f>
        <v>303</v>
      </c>
      <c r="B445" s="79"/>
      <c r="C445" s="69"/>
      <c r="D445" s="27" t="s">
        <v>40</v>
      </c>
      <c r="E445" s="35">
        <f>2*3.91</f>
        <v>7.82</v>
      </c>
      <c r="F445" s="36">
        <v>0.1</v>
      </c>
      <c r="G445" s="37">
        <f>(1+F445)*E445</f>
        <v>8.6020000000000003</v>
      </c>
      <c r="H445" s="38" t="s">
        <v>4</v>
      </c>
      <c r="I445" s="19">
        <v>0.37284</v>
      </c>
      <c r="J445" s="19">
        <f t="shared" si="313"/>
        <v>3.2071696800000002</v>
      </c>
      <c r="K445" s="31">
        <v>6.6699999999999997E-3</v>
      </c>
      <c r="L445" s="19">
        <f t="shared" si="314"/>
        <v>45</v>
      </c>
      <c r="M445" s="32">
        <f t="shared" si="315"/>
        <v>5.7375339999999997E-2</v>
      </c>
      <c r="N445" s="11">
        <f t="shared" si="316"/>
        <v>2.5818903</v>
      </c>
      <c r="O445" s="11">
        <f t="shared" si="317"/>
        <v>5.7890599800000002</v>
      </c>
      <c r="P445" s="54"/>
      <c r="Q445" s="39"/>
      <c r="R445" s="39"/>
      <c r="U445" s="41"/>
    </row>
    <row r="446" spans="1:21" s="40" customFormat="1" ht="16.8" customHeight="1">
      <c r="A446" s="33" t="str">
        <f>IF(H446&lt;&gt;"",1+MAX($A$5:A445),"")</f>
        <v/>
      </c>
      <c r="B446" s="79"/>
      <c r="C446" s="69"/>
      <c r="D446" s="27" t="s">
        <v>96</v>
      </c>
      <c r="E446" s="35"/>
      <c r="F446" s="36"/>
      <c r="G446" s="37"/>
      <c r="H446" s="38"/>
      <c r="I446" s="19"/>
      <c r="J446" s="19"/>
      <c r="K446" s="31"/>
      <c r="L446" s="19"/>
      <c r="M446" s="32"/>
      <c r="N446" s="11"/>
      <c r="O446" s="11"/>
      <c r="P446" s="54"/>
      <c r="Q446" s="39"/>
      <c r="R446" s="39"/>
      <c r="U446" s="41"/>
    </row>
    <row r="447" spans="1:21" s="40" customFormat="1" ht="16.8" customHeight="1">
      <c r="A447" s="33" t="str">
        <f>IF(H447&lt;&gt;"",1+MAX($A$5:A446),"")</f>
        <v/>
      </c>
      <c r="B447" s="79"/>
      <c r="C447" s="69"/>
      <c r="D447" s="94" t="s">
        <v>318</v>
      </c>
      <c r="E447" s="35"/>
      <c r="F447" s="36"/>
      <c r="G447" s="37"/>
      <c r="H447" s="38"/>
      <c r="I447" s="19"/>
      <c r="J447" s="19"/>
      <c r="K447" s="31"/>
      <c r="L447" s="19"/>
      <c r="M447" s="32"/>
      <c r="N447" s="11"/>
      <c r="O447" s="11"/>
      <c r="P447" s="54"/>
      <c r="Q447" s="39"/>
      <c r="R447" s="39"/>
      <c r="U447" s="41"/>
    </row>
    <row r="448" spans="1:21" s="40" customFormat="1" ht="16.8" customHeight="1">
      <c r="A448" s="33">
        <f>IF(H448&lt;&gt;"",1+MAX($A$5:A447),"")</f>
        <v>304</v>
      </c>
      <c r="B448" s="79"/>
      <c r="C448" s="69"/>
      <c r="D448" s="27" t="s">
        <v>319</v>
      </c>
      <c r="E448" s="35">
        <v>16</v>
      </c>
      <c r="F448" s="36">
        <v>0.1</v>
      </c>
      <c r="G448" s="37">
        <f>(1+F448)*E448</f>
        <v>17.600000000000001</v>
      </c>
      <c r="H448" s="38" t="s">
        <v>32</v>
      </c>
      <c r="I448" s="19">
        <v>0.62139999999999995</v>
      </c>
      <c r="J448" s="19">
        <f t="shared" ref="J448" si="318">G448*I448</f>
        <v>10.936640000000001</v>
      </c>
      <c r="K448" s="31">
        <v>0.02</v>
      </c>
      <c r="L448" s="19">
        <f>$O$379</f>
        <v>45</v>
      </c>
      <c r="M448" s="32">
        <f t="shared" ref="M448" si="319">K448*G448</f>
        <v>0.35200000000000004</v>
      </c>
      <c r="N448" s="11">
        <f t="shared" ref="N448" si="320">M448*L448</f>
        <v>15.840000000000002</v>
      </c>
      <c r="O448" s="11">
        <f t="shared" ref="O448" si="321">N448+J448</f>
        <v>26.77664</v>
      </c>
      <c r="P448" s="54"/>
      <c r="Q448" s="39"/>
      <c r="R448" s="39"/>
      <c r="U448" s="41"/>
    </row>
    <row r="449" spans="1:21" s="40" customFormat="1" ht="16.8" customHeight="1">
      <c r="A449" s="33" t="str">
        <f>IF(H449&lt;&gt;"",1+MAX($A$5:A448),"")</f>
        <v/>
      </c>
      <c r="B449" s="79"/>
      <c r="C449" s="69"/>
      <c r="D449" s="95" t="s">
        <v>39</v>
      </c>
      <c r="E449" s="35">
        <f>ROUNDUP(G448/32,0)</f>
        <v>1</v>
      </c>
      <c r="F449" s="36"/>
      <c r="G449" s="37"/>
      <c r="H449" s="38"/>
      <c r="I449" s="19"/>
      <c r="J449" s="19"/>
      <c r="K449" s="31"/>
      <c r="L449" s="19"/>
      <c r="M449" s="32"/>
      <c r="N449" s="11"/>
      <c r="O449" s="11"/>
      <c r="P449" s="54"/>
      <c r="Q449" s="39"/>
      <c r="R449" s="39"/>
      <c r="U449" s="41"/>
    </row>
    <row r="450" spans="1:21" s="40" customFormat="1" ht="16.8" customHeight="1">
      <c r="A450" s="33" t="str">
        <f>IF(H450&lt;&gt;"",1+MAX($A$5:A449),"")</f>
        <v/>
      </c>
      <c r="B450" s="79"/>
      <c r="C450" s="69"/>
      <c r="D450" s="95" t="s">
        <v>33</v>
      </c>
      <c r="E450" s="35">
        <f>E449*48</f>
        <v>48</v>
      </c>
      <c r="F450" s="36"/>
      <c r="G450" s="37"/>
      <c r="H450" s="38"/>
      <c r="I450" s="19"/>
      <c r="J450" s="19"/>
      <c r="K450" s="31"/>
      <c r="L450" s="19"/>
      <c r="M450" s="32"/>
      <c r="N450" s="11"/>
      <c r="O450" s="11"/>
      <c r="P450" s="54"/>
      <c r="Q450" s="39"/>
      <c r="R450" s="39"/>
      <c r="U450" s="41"/>
    </row>
    <row r="451" spans="1:21" s="40" customFormat="1" ht="16.8" customHeight="1">
      <c r="A451" s="33" t="str">
        <f>IF(H451&lt;&gt;"",1+MAX($A$5:A450),"")</f>
        <v/>
      </c>
      <c r="B451" s="79"/>
      <c r="C451" s="69"/>
      <c r="D451" s="95" t="s">
        <v>34</v>
      </c>
      <c r="E451" s="35">
        <f>E449</f>
        <v>1</v>
      </c>
      <c r="F451" s="36"/>
      <c r="G451" s="37"/>
      <c r="H451" s="38"/>
      <c r="I451" s="19"/>
      <c r="J451" s="19"/>
      <c r="K451" s="31"/>
      <c r="L451" s="19"/>
      <c r="M451" s="32"/>
      <c r="N451" s="11"/>
      <c r="O451" s="11"/>
      <c r="P451" s="54"/>
      <c r="Q451" s="39"/>
      <c r="R451" s="39"/>
      <c r="U451" s="41"/>
    </row>
    <row r="452" spans="1:21" s="40" customFormat="1" ht="16.8" customHeight="1">
      <c r="A452" s="33" t="str">
        <f>IF(H452&lt;&gt;"",1+MAX($A$5:A451),"")</f>
        <v/>
      </c>
      <c r="B452" s="79"/>
      <c r="C452" s="69"/>
      <c r="D452" s="95" t="s">
        <v>35</v>
      </c>
      <c r="E452" s="35">
        <f>E449*14</f>
        <v>14</v>
      </c>
      <c r="F452" s="36"/>
      <c r="G452" s="37"/>
      <c r="H452" s="38"/>
      <c r="I452" s="19"/>
      <c r="J452" s="19"/>
      <c r="K452" s="31"/>
      <c r="L452" s="19"/>
      <c r="M452" s="32"/>
      <c r="N452" s="11"/>
      <c r="O452" s="11"/>
      <c r="P452" s="54"/>
      <c r="Q452" s="39"/>
      <c r="R452" s="39"/>
      <c r="U452" s="41"/>
    </row>
    <row r="453" spans="1:21" s="40" customFormat="1" ht="16.8" customHeight="1">
      <c r="A453" s="33">
        <f>IF(H453&lt;&gt;"",1+MAX($A$5:A452),"")</f>
        <v>305</v>
      </c>
      <c r="B453" s="79"/>
      <c r="C453" s="69"/>
      <c r="D453" s="27" t="s">
        <v>320</v>
      </c>
      <c r="E453" s="35">
        <v>16</v>
      </c>
      <c r="F453" s="36">
        <v>0.1</v>
      </c>
      <c r="G453" s="37">
        <f>(1+F453)*E453</f>
        <v>17.600000000000001</v>
      </c>
      <c r="H453" s="38" t="s">
        <v>32</v>
      </c>
      <c r="I453" s="19">
        <v>3.6025266666666669</v>
      </c>
      <c r="J453" s="19">
        <f t="shared" ref="J453:J455" si="322">G453*I453</f>
        <v>63.404469333333346</v>
      </c>
      <c r="K453" s="31">
        <f>(0.016/12)*14</f>
        <v>1.8666666666666665E-2</v>
      </c>
      <c r="L453" s="19">
        <f t="shared" ref="L453:L455" si="323">$O$379</f>
        <v>45</v>
      </c>
      <c r="M453" s="32">
        <f t="shared" ref="M453:M455" si="324">K453*G453</f>
        <v>0.32853333333333334</v>
      </c>
      <c r="N453" s="11">
        <f t="shared" ref="N453:N455" si="325">M453*L453</f>
        <v>14.784000000000001</v>
      </c>
      <c r="O453" s="11">
        <f t="shared" ref="O453:O455" si="326">N453+J453</f>
        <v>78.188469333333344</v>
      </c>
      <c r="P453" s="54"/>
      <c r="Q453" s="39"/>
      <c r="R453" s="39"/>
      <c r="U453" s="41"/>
    </row>
    <row r="454" spans="1:21" s="40" customFormat="1" ht="16.8" customHeight="1">
      <c r="A454" s="33">
        <f>IF(H454&lt;&gt;"",1+MAX($A$5:A453),"")</f>
        <v>306</v>
      </c>
      <c r="B454" s="79"/>
      <c r="C454" s="69"/>
      <c r="D454" s="27" t="s">
        <v>40</v>
      </c>
      <c r="E454" s="35">
        <f>2.08*4</f>
        <v>8.32</v>
      </c>
      <c r="F454" s="36">
        <v>0.1</v>
      </c>
      <c r="G454" s="37">
        <f>(1+F454)*E454</f>
        <v>9.152000000000001</v>
      </c>
      <c r="H454" s="38" t="s">
        <v>4</v>
      </c>
      <c r="I454" s="19">
        <v>0.37284</v>
      </c>
      <c r="J454" s="19">
        <f t="shared" si="322"/>
        <v>3.4122316800000005</v>
      </c>
      <c r="K454" s="31">
        <v>6.6699999999999997E-3</v>
      </c>
      <c r="L454" s="19">
        <f t="shared" si="323"/>
        <v>45</v>
      </c>
      <c r="M454" s="32">
        <f t="shared" si="324"/>
        <v>6.1043840000000002E-2</v>
      </c>
      <c r="N454" s="11">
        <f t="shared" si="325"/>
        <v>2.7469728</v>
      </c>
      <c r="O454" s="11">
        <f t="shared" si="326"/>
        <v>6.1592044800000005</v>
      </c>
      <c r="P454" s="54"/>
      <c r="Q454" s="39"/>
      <c r="R454" s="39"/>
      <c r="U454" s="41"/>
    </row>
    <row r="455" spans="1:21" s="40" customFormat="1" ht="16.8" customHeight="1">
      <c r="A455" s="33">
        <f>IF(H455&lt;&gt;"",1+MAX($A$5:A454),"")</f>
        <v>307</v>
      </c>
      <c r="B455" s="79"/>
      <c r="C455" s="69"/>
      <c r="D455" s="27" t="s">
        <v>43</v>
      </c>
      <c r="E455" s="35">
        <v>10.119999999999999</v>
      </c>
      <c r="F455" s="36">
        <v>0.1</v>
      </c>
      <c r="G455" s="37">
        <f>(1+F455)*E455</f>
        <v>11.132</v>
      </c>
      <c r="H455" s="38" t="s">
        <v>4</v>
      </c>
      <c r="I455" s="19">
        <v>1.5296000000000001</v>
      </c>
      <c r="J455" s="19">
        <f t="shared" si="322"/>
        <v>17.027507199999999</v>
      </c>
      <c r="K455" s="31">
        <v>0.02</v>
      </c>
      <c r="L455" s="19">
        <f t="shared" si="323"/>
        <v>45</v>
      </c>
      <c r="M455" s="32">
        <f t="shared" si="324"/>
        <v>0.22264</v>
      </c>
      <c r="N455" s="11">
        <f t="shared" si="325"/>
        <v>10.018800000000001</v>
      </c>
      <c r="O455" s="11">
        <f t="shared" si="326"/>
        <v>27.046307200000001</v>
      </c>
      <c r="P455" s="54"/>
      <c r="Q455" s="39"/>
      <c r="R455" s="39"/>
      <c r="U455" s="41"/>
    </row>
    <row r="456" spans="1:21" s="40" customFormat="1" ht="16.8" customHeight="1">
      <c r="A456" s="33" t="str">
        <f>IF(H456&lt;&gt;"",1+MAX($A$5:A455),"")</f>
        <v/>
      </c>
      <c r="B456" s="79"/>
      <c r="C456" s="69"/>
      <c r="D456" s="27" t="s">
        <v>96</v>
      </c>
      <c r="E456" s="35"/>
      <c r="F456" s="36"/>
      <c r="G456" s="37"/>
      <c r="H456" s="38"/>
      <c r="I456" s="19"/>
      <c r="J456" s="19"/>
      <c r="K456" s="31"/>
      <c r="L456" s="19"/>
      <c r="M456" s="32"/>
      <c r="N456" s="11"/>
      <c r="O456" s="11"/>
      <c r="P456" s="54"/>
      <c r="Q456" s="39"/>
      <c r="R456" s="39"/>
      <c r="U456" s="41"/>
    </row>
    <row r="457" spans="1:21" s="40" customFormat="1" ht="16.8" customHeight="1">
      <c r="A457" s="33" t="str">
        <f>IF(H457&lt;&gt;"",1+MAX($A$5:A456),"")</f>
        <v/>
      </c>
      <c r="B457" s="79"/>
      <c r="C457" s="69"/>
      <c r="D457" s="94" t="s">
        <v>321</v>
      </c>
      <c r="E457" s="35"/>
      <c r="F457" s="36"/>
      <c r="G457" s="37"/>
      <c r="H457" s="38"/>
      <c r="I457" s="19"/>
      <c r="J457" s="19"/>
      <c r="K457" s="31"/>
      <c r="L457" s="19"/>
      <c r="M457" s="32"/>
      <c r="N457" s="11"/>
      <c r="O457" s="11"/>
      <c r="P457" s="54"/>
      <c r="Q457" s="39"/>
      <c r="R457" s="39"/>
      <c r="U457" s="41"/>
    </row>
    <row r="458" spans="1:21" s="40" customFormat="1" ht="16.8" customHeight="1">
      <c r="A458" s="33">
        <f>IF(H458&lt;&gt;"",1+MAX($A$5:A457),"")</f>
        <v>308</v>
      </c>
      <c r="B458" s="79"/>
      <c r="C458" s="69"/>
      <c r="D458" s="27" t="s">
        <v>319</v>
      </c>
      <c r="E458" s="35">
        <v>569</v>
      </c>
      <c r="F458" s="36">
        <v>0.1</v>
      </c>
      <c r="G458" s="37">
        <f>(1+F458)*E458</f>
        <v>625.90000000000009</v>
      </c>
      <c r="H458" s="38" t="s">
        <v>32</v>
      </c>
      <c r="I458" s="19">
        <v>0.62139999999999995</v>
      </c>
      <c r="J458" s="19">
        <f t="shared" ref="J458" si="327">G458*I458</f>
        <v>388.93426000000005</v>
      </c>
      <c r="K458" s="31">
        <v>0.02</v>
      </c>
      <c r="L458" s="19">
        <f>$O$379</f>
        <v>45</v>
      </c>
      <c r="M458" s="32">
        <f t="shared" ref="M458" si="328">K458*G458</f>
        <v>12.518000000000002</v>
      </c>
      <c r="N458" s="11">
        <f t="shared" ref="N458" si="329">M458*L458</f>
        <v>563.31000000000006</v>
      </c>
      <c r="O458" s="11">
        <f t="shared" ref="O458" si="330">N458+J458</f>
        <v>952.24426000000017</v>
      </c>
      <c r="P458" s="54"/>
      <c r="Q458" s="39"/>
      <c r="R458" s="39"/>
      <c r="U458" s="41"/>
    </row>
    <row r="459" spans="1:21" s="40" customFormat="1" ht="16.8" customHeight="1">
      <c r="A459" s="33" t="str">
        <f>IF(H459&lt;&gt;"",1+MAX($A$5:A458),"")</f>
        <v/>
      </c>
      <c r="B459" s="79"/>
      <c r="C459" s="69"/>
      <c r="D459" s="95" t="s">
        <v>39</v>
      </c>
      <c r="E459" s="35">
        <f>ROUNDUP(G458/32,0)</f>
        <v>20</v>
      </c>
      <c r="F459" s="36"/>
      <c r="G459" s="37"/>
      <c r="H459" s="38"/>
      <c r="I459" s="19"/>
      <c r="J459" s="19"/>
      <c r="K459" s="31"/>
      <c r="L459" s="19"/>
      <c r="M459" s="32"/>
      <c r="N459" s="11"/>
      <c r="O459" s="11"/>
      <c r="P459" s="54"/>
      <c r="Q459" s="39"/>
      <c r="R459" s="39"/>
      <c r="U459" s="41"/>
    </row>
    <row r="460" spans="1:21" s="40" customFormat="1" ht="16.8" customHeight="1">
      <c r="A460" s="33" t="str">
        <f>IF(H460&lt;&gt;"",1+MAX($A$5:A459),"")</f>
        <v/>
      </c>
      <c r="B460" s="79"/>
      <c r="C460" s="69"/>
      <c r="D460" s="95" t="s">
        <v>33</v>
      </c>
      <c r="E460" s="35">
        <f>E459*48</f>
        <v>960</v>
      </c>
      <c r="F460" s="36"/>
      <c r="G460" s="37"/>
      <c r="H460" s="38"/>
      <c r="I460" s="19"/>
      <c r="J460" s="19"/>
      <c r="K460" s="31"/>
      <c r="L460" s="19"/>
      <c r="M460" s="32"/>
      <c r="N460" s="11"/>
      <c r="O460" s="11"/>
      <c r="P460" s="54"/>
      <c r="Q460" s="39"/>
      <c r="R460" s="39"/>
      <c r="U460" s="41"/>
    </row>
    <row r="461" spans="1:21" s="40" customFormat="1" ht="16.8" customHeight="1">
      <c r="A461" s="33" t="str">
        <f>IF(H461&lt;&gt;"",1+MAX($A$5:A460),"")</f>
        <v/>
      </c>
      <c r="B461" s="79"/>
      <c r="C461" s="69"/>
      <c r="D461" s="95" t="s">
        <v>34</v>
      </c>
      <c r="E461" s="35">
        <f>E459</f>
        <v>20</v>
      </c>
      <c r="F461" s="36"/>
      <c r="G461" s="37"/>
      <c r="H461" s="38"/>
      <c r="I461" s="19"/>
      <c r="J461" s="19"/>
      <c r="K461" s="31"/>
      <c r="L461" s="19"/>
      <c r="M461" s="32"/>
      <c r="N461" s="11"/>
      <c r="O461" s="11"/>
      <c r="P461" s="54"/>
      <c r="Q461" s="39"/>
      <c r="R461" s="39"/>
      <c r="U461" s="41"/>
    </row>
    <row r="462" spans="1:21" s="40" customFormat="1" ht="16.8" customHeight="1">
      <c r="A462" s="33" t="str">
        <f>IF(H462&lt;&gt;"",1+MAX($A$5:A461),"")</f>
        <v/>
      </c>
      <c r="B462" s="79"/>
      <c r="C462" s="69"/>
      <c r="D462" s="95" t="s">
        <v>35</v>
      </c>
      <c r="E462" s="35">
        <f>E459*14</f>
        <v>280</v>
      </c>
      <c r="F462" s="36"/>
      <c r="G462" s="37"/>
      <c r="H462" s="38"/>
      <c r="I462" s="19"/>
      <c r="J462" s="19"/>
      <c r="K462" s="31"/>
      <c r="L462" s="19"/>
      <c r="M462" s="32"/>
      <c r="N462" s="11"/>
      <c r="O462" s="11"/>
      <c r="P462" s="54"/>
      <c r="Q462" s="39"/>
      <c r="R462" s="39"/>
      <c r="U462" s="41"/>
    </row>
    <row r="463" spans="1:21" s="40" customFormat="1" ht="16.8" customHeight="1">
      <c r="A463" s="33">
        <f>IF(H463&lt;&gt;"",1+MAX($A$5:A462),"")</f>
        <v>309</v>
      </c>
      <c r="B463" s="79"/>
      <c r="C463" s="69"/>
      <c r="D463" s="27" t="s">
        <v>309</v>
      </c>
      <c r="E463" s="35">
        <v>279</v>
      </c>
      <c r="F463" s="36">
        <v>0.1</v>
      </c>
      <c r="G463" s="37">
        <f>(1+F463)*E463</f>
        <v>306.90000000000003</v>
      </c>
      <c r="H463" s="38" t="s">
        <v>32</v>
      </c>
      <c r="I463" s="19">
        <v>0.87951999999999997</v>
      </c>
      <c r="J463" s="19">
        <f t="shared" ref="J463" si="331">G463*I463</f>
        <v>269.924688</v>
      </c>
      <c r="K463" s="31">
        <v>0.02</v>
      </c>
      <c r="L463" s="19">
        <f>$O$379</f>
        <v>45</v>
      </c>
      <c r="M463" s="32">
        <f t="shared" ref="M463" si="332">K463*G463</f>
        <v>6.1380000000000008</v>
      </c>
      <c r="N463" s="11">
        <f t="shared" ref="N463" si="333">M463*L463</f>
        <v>276.21000000000004</v>
      </c>
      <c r="O463" s="11">
        <f t="shared" ref="O463" si="334">N463+J463</f>
        <v>546.1346880000001</v>
      </c>
      <c r="P463" s="54"/>
      <c r="Q463" s="39"/>
      <c r="R463" s="39"/>
      <c r="U463" s="41"/>
    </row>
    <row r="464" spans="1:21" s="40" customFormat="1" ht="16.8" customHeight="1">
      <c r="A464" s="33" t="str">
        <f>IF(H464&lt;&gt;"",1+MAX($A$5:A463),"")</f>
        <v/>
      </c>
      <c r="B464" s="79"/>
      <c r="C464" s="69"/>
      <c r="D464" s="95" t="s">
        <v>39</v>
      </c>
      <c r="E464" s="35">
        <f>ROUNDUP(G463/32,0)</f>
        <v>10</v>
      </c>
      <c r="F464" s="36"/>
      <c r="G464" s="37"/>
      <c r="H464" s="38"/>
      <c r="I464" s="19"/>
      <c r="J464" s="19"/>
      <c r="K464" s="31"/>
      <c r="L464" s="19"/>
      <c r="M464" s="32"/>
      <c r="N464" s="11"/>
      <c r="O464" s="11"/>
      <c r="P464" s="54"/>
      <c r="Q464" s="39"/>
      <c r="R464" s="39"/>
      <c r="U464" s="41"/>
    </row>
    <row r="465" spans="1:21" s="40" customFormat="1" ht="16.8" customHeight="1">
      <c r="A465" s="33" t="str">
        <f>IF(H465&lt;&gt;"",1+MAX($A$5:A464),"")</f>
        <v/>
      </c>
      <c r="B465" s="79"/>
      <c r="C465" s="69"/>
      <c r="D465" s="95" t="s">
        <v>33</v>
      </c>
      <c r="E465" s="35">
        <f>E464*48</f>
        <v>480</v>
      </c>
      <c r="F465" s="36"/>
      <c r="G465" s="37"/>
      <c r="H465" s="38"/>
      <c r="I465" s="19"/>
      <c r="J465" s="19"/>
      <c r="K465" s="31"/>
      <c r="L465" s="19"/>
      <c r="M465" s="32"/>
      <c r="N465" s="11"/>
      <c r="O465" s="11"/>
      <c r="P465" s="54"/>
      <c r="Q465" s="39"/>
      <c r="R465" s="39"/>
      <c r="U465" s="41"/>
    </row>
    <row r="466" spans="1:21" s="40" customFormat="1" ht="16.8" customHeight="1">
      <c r="A466" s="33" t="str">
        <f>IF(H466&lt;&gt;"",1+MAX($A$5:A465),"")</f>
        <v/>
      </c>
      <c r="B466" s="79"/>
      <c r="C466" s="69"/>
      <c r="D466" s="95" t="s">
        <v>34</v>
      </c>
      <c r="E466" s="35">
        <f>E464</f>
        <v>10</v>
      </c>
      <c r="F466" s="36"/>
      <c r="G466" s="37"/>
      <c r="H466" s="38"/>
      <c r="I466" s="19"/>
      <c r="J466" s="19"/>
      <c r="K466" s="31"/>
      <c r="L466" s="19"/>
      <c r="M466" s="32"/>
      <c r="N466" s="11"/>
      <c r="O466" s="11"/>
      <c r="P466" s="54"/>
      <c r="Q466" s="39"/>
      <c r="R466" s="39"/>
      <c r="U466" s="41"/>
    </row>
    <row r="467" spans="1:21" s="40" customFormat="1" ht="16.8" customHeight="1">
      <c r="A467" s="33" t="str">
        <f>IF(H467&lt;&gt;"",1+MAX($A$5:A466),"")</f>
        <v/>
      </c>
      <c r="B467" s="79"/>
      <c r="C467" s="69"/>
      <c r="D467" s="95" t="s">
        <v>35</v>
      </c>
      <c r="E467" s="35">
        <f>E464*14</f>
        <v>140</v>
      </c>
      <c r="F467" s="36"/>
      <c r="G467" s="37"/>
      <c r="H467" s="38"/>
      <c r="I467" s="19"/>
      <c r="J467" s="19"/>
      <c r="K467" s="31"/>
      <c r="L467" s="19"/>
      <c r="M467" s="32"/>
      <c r="N467" s="11"/>
      <c r="O467" s="11"/>
      <c r="P467" s="54"/>
      <c r="Q467" s="39"/>
      <c r="R467" s="39"/>
      <c r="U467" s="41"/>
    </row>
    <row r="468" spans="1:21" s="40" customFormat="1" ht="16.8" customHeight="1">
      <c r="A468" s="33">
        <f>IF(H468&lt;&gt;"",1+MAX($A$5:A467),"")</f>
        <v>310</v>
      </c>
      <c r="B468" s="79"/>
      <c r="C468" s="69"/>
      <c r="D468" s="27" t="s">
        <v>42</v>
      </c>
      <c r="E468" s="35">
        <f>5.68*8</f>
        <v>45.44</v>
      </c>
      <c r="F468" s="36">
        <v>0.1</v>
      </c>
      <c r="G468" s="37">
        <f>(1+F468)*E468</f>
        <v>49.984000000000002</v>
      </c>
      <c r="H468" s="38" t="s">
        <v>32</v>
      </c>
      <c r="I468" s="19">
        <v>1.1472</v>
      </c>
      <c r="J468" s="19">
        <f t="shared" ref="J468" si="335">G468*I468</f>
        <v>57.341644800000005</v>
      </c>
      <c r="K468" s="31">
        <v>0.02</v>
      </c>
      <c r="L468" s="19">
        <f>$O$379</f>
        <v>45</v>
      </c>
      <c r="M468" s="32">
        <f t="shared" ref="M468" si="336">K468*G468</f>
        <v>0.99968000000000001</v>
      </c>
      <c r="N468" s="11">
        <f t="shared" ref="N468" si="337">M468*L468</f>
        <v>44.985599999999998</v>
      </c>
      <c r="O468" s="11">
        <f t="shared" ref="O468" si="338">N468+J468</f>
        <v>102.3272448</v>
      </c>
      <c r="P468" s="54"/>
      <c r="Q468" s="39"/>
      <c r="R468" s="39"/>
      <c r="U468" s="41"/>
    </row>
    <row r="469" spans="1:21" s="40" customFormat="1" ht="16.8" customHeight="1">
      <c r="A469" s="33" t="str">
        <f>IF(H469&lt;&gt;"",1+MAX($A$5:A468),"")</f>
        <v/>
      </c>
      <c r="B469" s="79"/>
      <c r="C469" s="69"/>
      <c r="D469" s="95" t="s">
        <v>39</v>
      </c>
      <c r="E469" s="35">
        <f>ROUNDUP(G468/32,0)</f>
        <v>2</v>
      </c>
      <c r="F469" s="36"/>
      <c r="G469" s="37"/>
      <c r="H469" s="38"/>
      <c r="I469" s="19"/>
      <c r="J469" s="19"/>
      <c r="K469" s="31"/>
      <c r="L469" s="19"/>
      <c r="M469" s="32"/>
      <c r="N469" s="11"/>
      <c r="O469" s="11"/>
      <c r="P469" s="54"/>
      <c r="Q469" s="39"/>
      <c r="R469" s="39"/>
      <c r="U469" s="41"/>
    </row>
    <row r="470" spans="1:21" s="40" customFormat="1" ht="16.8" customHeight="1">
      <c r="A470" s="33" t="str">
        <f>IF(H470&lt;&gt;"",1+MAX($A$5:A469),"")</f>
        <v/>
      </c>
      <c r="B470" s="79"/>
      <c r="C470" s="69"/>
      <c r="D470" s="95" t="s">
        <v>33</v>
      </c>
      <c r="E470" s="35">
        <f>E469*48</f>
        <v>96</v>
      </c>
      <c r="F470" s="36"/>
      <c r="G470" s="37"/>
      <c r="H470" s="38"/>
      <c r="I470" s="19"/>
      <c r="J470" s="19"/>
      <c r="K470" s="31"/>
      <c r="L470" s="19"/>
      <c r="M470" s="32"/>
      <c r="N470" s="11"/>
      <c r="O470" s="11"/>
      <c r="P470" s="54"/>
      <c r="Q470" s="39"/>
      <c r="R470" s="39"/>
      <c r="U470" s="41"/>
    </row>
    <row r="471" spans="1:21" s="40" customFormat="1" ht="16.8" customHeight="1">
      <c r="A471" s="33" t="str">
        <f>IF(H471&lt;&gt;"",1+MAX($A$5:A470),"")</f>
        <v/>
      </c>
      <c r="B471" s="79"/>
      <c r="C471" s="69"/>
      <c r="D471" s="95" t="s">
        <v>34</v>
      </c>
      <c r="E471" s="35">
        <f>E469</f>
        <v>2</v>
      </c>
      <c r="F471" s="36"/>
      <c r="G471" s="37"/>
      <c r="H471" s="38"/>
      <c r="I471" s="19"/>
      <c r="J471" s="19"/>
      <c r="K471" s="31"/>
      <c r="L471" s="19"/>
      <c r="M471" s="32"/>
      <c r="N471" s="11"/>
      <c r="O471" s="11"/>
      <c r="P471" s="54"/>
      <c r="Q471" s="39"/>
      <c r="R471" s="39"/>
      <c r="U471" s="41"/>
    </row>
    <row r="472" spans="1:21" s="40" customFormat="1" ht="16.8" customHeight="1">
      <c r="A472" s="33" t="str">
        <f>IF(H472&lt;&gt;"",1+MAX($A$5:A471),"")</f>
        <v/>
      </c>
      <c r="B472" s="79"/>
      <c r="C472" s="69"/>
      <c r="D472" s="95" t="s">
        <v>35</v>
      </c>
      <c r="E472" s="35">
        <f>E469*14</f>
        <v>28</v>
      </c>
      <c r="F472" s="36"/>
      <c r="G472" s="37"/>
      <c r="H472" s="38"/>
      <c r="I472" s="19"/>
      <c r="J472" s="19"/>
      <c r="K472" s="31"/>
      <c r="L472" s="19"/>
      <c r="M472" s="32"/>
      <c r="N472" s="11"/>
      <c r="O472" s="11"/>
      <c r="P472" s="54"/>
      <c r="Q472" s="39"/>
      <c r="R472" s="39"/>
      <c r="U472" s="41"/>
    </row>
    <row r="473" spans="1:21" s="40" customFormat="1" ht="16.8" customHeight="1">
      <c r="A473" s="33">
        <f>IF(H473&lt;&gt;"",1+MAX($A$5:A472),"")</f>
        <v>311</v>
      </c>
      <c r="B473" s="79"/>
      <c r="C473" s="69"/>
      <c r="D473" s="27" t="s">
        <v>322</v>
      </c>
      <c r="E473" s="35">
        <v>424</v>
      </c>
      <c r="F473" s="36">
        <v>0.1</v>
      </c>
      <c r="G473" s="37">
        <f>(1+F473)*E473</f>
        <v>466.40000000000003</v>
      </c>
      <c r="H473" s="38" t="s">
        <v>32</v>
      </c>
      <c r="I473" s="19">
        <v>2.0585866666666668</v>
      </c>
      <c r="J473" s="19">
        <f t="shared" ref="J473:J476" si="339">G473*I473</f>
        <v>960.12482133333344</v>
      </c>
      <c r="K473" s="31">
        <f>(0.016/12)*8</f>
        <v>1.0666666666666666E-2</v>
      </c>
      <c r="L473" s="19">
        <f t="shared" ref="L473:L476" si="340">$O$379</f>
        <v>45</v>
      </c>
      <c r="M473" s="32">
        <f t="shared" ref="M473:M476" si="341">K473*G473</f>
        <v>4.9749333333333334</v>
      </c>
      <c r="N473" s="11">
        <f t="shared" ref="N473:N476" si="342">M473*L473</f>
        <v>223.87200000000001</v>
      </c>
      <c r="O473" s="11">
        <f t="shared" ref="O473:O476" si="343">N473+J473</f>
        <v>1183.9968213333334</v>
      </c>
      <c r="P473" s="54"/>
      <c r="Q473" s="39"/>
      <c r="R473" s="39"/>
      <c r="U473" s="41"/>
    </row>
    <row r="474" spans="1:21" s="40" customFormat="1" ht="16.8" customHeight="1">
      <c r="A474" s="33">
        <f>IF(H474&lt;&gt;"",1+MAX($A$5:A473),"")</f>
        <v>312</v>
      </c>
      <c r="B474" s="79"/>
      <c r="C474" s="69"/>
      <c r="D474" s="27" t="s">
        <v>311</v>
      </c>
      <c r="E474" s="35">
        <v>424</v>
      </c>
      <c r="F474" s="36">
        <v>0.1</v>
      </c>
      <c r="G474" s="37">
        <f>(1+F474)*E474</f>
        <v>466.40000000000003</v>
      </c>
      <c r="H474" s="38" t="s">
        <v>32</v>
      </c>
      <c r="I474" s="19">
        <v>0.59272000000000002</v>
      </c>
      <c r="J474" s="19">
        <f t="shared" si="339"/>
        <v>276.44460800000002</v>
      </c>
      <c r="K474" s="31">
        <v>8.9999999999999993E-3</v>
      </c>
      <c r="L474" s="19">
        <f t="shared" si="340"/>
        <v>45</v>
      </c>
      <c r="M474" s="32">
        <f t="shared" si="341"/>
        <v>4.1975999999999996</v>
      </c>
      <c r="N474" s="11">
        <f t="shared" si="342"/>
        <v>188.89199999999997</v>
      </c>
      <c r="O474" s="11">
        <f t="shared" si="343"/>
        <v>465.33660799999996</v>
      </c>
      <c r="P474" s="54"/>
      <c r="Q474" s="39"/>
      <c r="R474" s="39"/>
      <c r="U474" s="41"/>
    </row>
    <row r="475" spans="1:21" s="40" customFormat="1" ht="16.8" customHeight="1">
      <c r="A475" s="33">
        <f>IF(H475&lt;&gt;"",1+MAX($A$5:A474),"")</f>
        <v>313</v>
      </c>
      <c r="B475" s="79"/>
      <c r="C475" s="69"/>
      <c r="D475" s="27" t="s">
        <v>40</v>
      </c>
      <c r="E475" s="35">
        <f>4*50.19</f>
        <v>200.76</v>
      </c>
      <c r="F475" s="36">
        <v>0.1</v>
      </c>
      <c r="G475" s="37">
        <f>(1+F475)*E475</f>
        <v>220.83600000000001</v>
      </c>
      <c r="H475" s="38" t="s">
        <v>4</v>
      </c>
      <c r="I475" s="19">
        <v>0.37284</v>
      </c>
      <c r="J475" s="19">
        <f t="shared" si="339"/>
        <v>82.336494240000007</v>
      </c>
      <c r="K475" s="31">
        <v>6.6699999999999997E-3</v>
      </c>
      <c r="L475" s="19">
        <f t="shared" si="340"/>
        <v>45</v>
      </c>
      <c r="M475" s="32">
        <f t="shared" si="341"/>
        <v>1.47297612</v>
      </c>
      <c r="N475" s="11">
        <f t="shared" si="342"/>
        <v>66.283925400000001</v>
      </c>
      <c r="O475" s="11">
        <f t="shared" si="343"/>
        <v>148.62041964000002</v>
      </c>
      <c r="P475" s="54"/>
      <c r="Q475" s="39"/>
      <c r="R475" s="39"/>
      <c r="U475" s="41"/>
    </row>
    <row r="476" spans="1:21" s="40" customFormat="1" ht="16.8" customHeight="1">
      <c r="A476" s="33">
        <f>IF(H476&lt;&gt;"",1+MAX($A$5:A475),"")</f>
        <v>314</v>
      </c>
      <c r="B476" s="79"/>
      <c r="C476" s="69"/>
      <c r="D476" s="27" t="s">
        <v>43</v>
      </c>
      <c r="E476" s="35">
        <v>19.75</v>
      </c>
      <c r="F476" s="36">
        <v>0.1</v>
      </c>
      <c r="G476" s="37">
        <f>(1+F476)*E476</f>
        <v>21.725000000000001</v>
      </c>
      <c r="H476" s="38" t="s">
        <v>4</v>
      </c>
      <c r="I476" s="19">
        <v>1.5296000000000001</v>
      </c>
      <c r="J476" s="19">
        <f t="shared" si="339"/>
        <v>33.230560000000004</v>
      </c>
      <c r="K476" s="31">
        <v>0.02</v>
      </c>
      <c r="L476" s="19">
        <f t="shared" si="340"/>
        <v>45</v>
      </c>
      <c r="M476" s="32">
        <f t="shared" si="341"/>
        <v>0.43450000000000005</v>
      </c>
      <c r="N476" s="11">
        <f t="shared" si="342"/>
        <v>19.552500000000002</v>
      </c>
      <c r="O476" s="11">
        <f t="shared" si="343"/>
        <v>52.783060000000006</v>
      </c>
      <c r="P476" s="54"/>
      <c r="Q476" s="39"/>
      <c r="R476" s="39"/>
      <c r="U476" s="41"/>
    </row>
    <row r="477" spans="1:21" s="40" customFormat="1" ht="16.8" customHeight="1">
      <c r="A477" s="33" t="str">
        <f>IF(H477&lt;&gt;"",1+MAX($A$5:A476),"")</f>
        <v/>
      </c>
      <c r="B477" s="79"/>
      <c r="C477" s="69"/>
      <c r="D477" s="27" t="s">
        <v>96</v>
      </c>
      <c r="E477" s="35"/>
      <c r="F477" s="36"/>
      <c r="G477" s="37"/>
      <c r="H477" s="38"/>
      <c r="I477" s="19"/>
      <c r="J477" s="19"/>
      <c r="K477" s="31"/>
      <c r="L477" s="19"/>
      <c r="M477" s="32"/>
      <c r="N477" s="11"/>
      <c r="O477" s="11"/>
      <c r="P477" s="54"/>
      <c r="Q477" s="39"/>
      <c r="R477" s="39"/>
      <c r="U477" s="41"/>
    </row>
    <row r="478" spans="1:21" s="40" customFormat="1" ht="16.8" customHeight="1">
      <c r="A478" s="33" t="str">
        <f>IF(H478&lt;&gt;"",1+MAX($A$5:A477),"")</f>
        <v/>
      </c>
      <c r="B478" s="79"/>
      <c r="C478" s="69"/>
      <c r="D478" s="94" t="s">
        <v>323</v>
      </c>
      <c r="E478" s="35"/>
      <c r="F478" s="36"/>
      <c r="G478" s="37"/>
      <c r="H478" s="38"/>
      <c r="I478" s="19"/>
      <c r="J478" s="19"/>
      <c r="K478" s="31"/>
      <c r="L478" s="19"/>
      <c r="M478" s="32"/>
      <c r="N478" s="11"/>
      <c r="O478" s="11"/>
      <c r="P478" s="54"/>
      <c r="Q478" s="39"/>
      <c r="R478" s="39"/>
      <c r="U478" s="41"/>
    </row>
    <row r="479" spans="1:21" s="40" customFormat="1" ht="16.8" customHeight="1">
      <c r="A479" s="33">
        <f>IF(H479&lt;&gt;"",1+MAX($A$5:A478),"")</f>
        <v>315</v>
      </c>
      <c r="B479" s="79"/>
      <c r="C479" s="69"/>
      <c r="D479" s="27" t="s">
        <v>319</v>
      </c>
      <c r="E479" s="35">
        <v>748</v>
      </c>
      <c r="F479" s="36">
        <v>0.1</v>
      </c>
      <c r="G479" s="37">
        <f>(1+F479)*E479</f>
        <v>822.80000000000007</v>
      </c>
      <c r="H479" s="38" t="s">
        <v>32</v>
      </c>
      <c r="I479" s="19">
        <v>0.62139999999999995</v>
      </c>
      <c r="J479" s="19">
        <f t="shared" ref="J479" si="344">G479*I479</f>
        <v>511.28791999999999</v>
      </c>
      <c r="K479" s="31">
        <v>0.02</v>
      </c>
      <c r="L479" s="19">
        <f>$O$379</f>
        <v>45</v>
      </c>
      <c r="M479" s="32">
        <f t="shared" ref="M479" si="345">K479*G479</f>
        <v>16.456000000000003</v>
      </c>
      <c r="N479" s="11">
        <f t="shared" ref="N479" si="346">M479*L479</f>
        <v>740.5200000000001</v>
      </c>
      <c r="O479" s="11">
        <f t="shared" ref="O479" si="347">N479+J479</f>
        <v>1251.8079200000002</v>
      </c>
      <c r="P479" s="54"/>
      <c r="Q479" s="39"/>
      <c r="R479" s="39"/>
      <c r="U479" s="41"/>
    </row>
    <row r="480" spans="1:21" s="40" customFormat="1" ht="16.8" customHeight="1">
      <c r="A480" s="33" t="str">
        <f>IF(H480&lt;&gt;"",1+MAX($A$5:A479),"")</f>
        <v/>
      </c>
      <c r="B480" s="79"/>
      <c r="C480" s="69"/>
      <c r="D480" s="95" t="s">
        <v>39</v>
      </c>
      <c r="E480" s="35">
        <f>ROUNDUP(G479/32,0)</f>
        <v>26</v>
      </c>
      <c r="F480" s="36"/>
      <c r="G480" s="37"/>
      <c r="H480" s="38"/>
      <c r="I480" s="19"/>
      <c r="J480" s="19"/>
      <c r="K480" s="31"/>
      <c r="L480" s="19"/>
      <c r="M480" s="32"/>
      <c r="N480" s="11"/>
      <c r="O480" s="11"/>
      <c r="P480" s="54"/>
      <c r="Q480" s="39"/>
      <c r="R480" s="39"/>
      <c r="U480" s="41"/>
    </row>
    <row r="481" spans="1:21" s="40" customFormat="1" ht="16.8" customHeight="1">
      <c r="A481" s="33" t="str">
        <f>IF(H481&lt;&gt;"",1+MAX($A$5:A480),"")</f>
        <v/>
      </c>
      <c r="B481" s="79"/>
      <c r="C481" s="69"/>
      <c r="D481" s="95" t="s">
        <v>33</v>
      </c>
      <c r="E481" s="35">
        <f>E480*48</f>
        <v>1248</v>
      </c>
      <c r="F481" s="36"/>
      <c r="G481" s="37"/>
      <c r="H481" s="38"/>
      <c r="I481" s="19"/>
      <c r="J481" s="19"/>
      <c r="K481" s="31"/>
      <c r="L481" s="19"/>
      <c r="M481" s="32"/>
      <c r="N481" s="11"/>
      <c r="O481" s="11"/>
      <c r="P481" s="54"/>
      <c r="Q481" s="39"/>
      <c r="R481" s="39"/>
      <c r="U481" s="41"/>
    </row>
    <row r="482" spans="1:21" s="40" customFormat="1" ht="16.8" customHeight="1">
      <c r="A482" s="33" t="str">
        <f>IF(H482&lt;&gt;"",1+MAX($A$5:A481),"")</f>
        <v/>
      </c>
      <c r="B482" s="79"/>
      <c r="C482" s="69"/>
      <c r="D482" s="95" t="s">
        <v>34</v>
      </c>
      <c r="E482" s="35">
        <f>E480</f>
        <v>26</v>
      </c>
      <c r="F482" s="36"/>
      <c r="G482" s="37"/>
      <c r="H482" s="38"/>
      <c r="I482" s="19"/>
      <c r="J482" s="19"/>
      <c r="K482" s="31"/>
      <c r="L482" s="19"/>
      <c r="M482" s="32"/>
      <c r="N482" s="11"/>
      <c r="O482" s="11"/>
      <c r="P482" s="54"/>
      <c r="Q482" s="39"/>
      <c r="R482" s="39"/>
      <c r="U482" s="41"/>
    </row>
    <row r="483" spans="1:21" s="40" customFormat="1" ht="16.8" customHeight="1">
      <c r="A483" s="33" t="str">
        <f>IF(H483&lt;&gt;"",1+MAX($A$5:A482),"")</f>
        <v/>
      </c>
      <c r="B483" s="79"/>
      <c r="C483" s="69"/>
      <c r="D483" s="95" t="s">
        <v>35</v>
      </c>
      <c r="E483" s="35">
        <f>E480*14</f>
        <v>364</v>
      </c>
      <c r="F483" s="36"/>
      <c r="G483" s="37"/>
      <c r="H483" s="38"/>
      <c r="I483" s="19"/>
      <c r="J483" s="19"/>
      <c r="K483" s="31"/>
      <c r="L483" s="19"/>
      <c r="M483" s="32"/>
      <c r="N483" s="11"/>
      <c r="O483" s="11"/>
      <c r="P483" s="54"/>
      <c r="Q483" s="39"/>
      <c r="R483" s="39"/>
      <c r="U483" s="41"/>
    </row>
    <row r="484" spans="1:21" s="40" customFormat="1" ht="16.8" customHeight="1">
      <c r="A484" s="33">
        <f>IF(H484&lt;&gt;"",1+MAX($A$5:A483),"")</f>
        <v>316</v>
      </c>
      <c r="B484" s="79"/>
      <c r="C484" s="69"/>
      <c r="D484" s="27" t="s">
        <v>309</v>
      </c>
      <c r="E484" s="35">
        <v>748</v>
      </c>
      <c r="F484" s="36">
        <v>0.1</v>
      </c>
      <c r="G484" s="37">
        <f>(1+F484)*E484</f>
        <v>822.80000000000007</v>
      </c>
      <c r="H484" s="38" t="s">
        <v>32</v>
      </c>
      <c r="I484" s="19">
        <v>0.87951999999999997</v>
      </c>
      <c r="J484" s="19">
        <f t="shared" ref="J484" si="348">G484*I484</f>
        <v>723.66905600000007</v>
      </c>
      <c r="K484" s="31">
        <v>0.02</v>
      </c>
      <c r="L484" s="19">
        <f>$O$379</f>
        <v>45</v>
      </c>
      <c r="M484" s="32">
        <f t="shared" ref="M484" si="349">K484*G484</f>
        <v>16.456000000000003</v>
      </c>
      <c r="N484" s="11">
        <f t="shared" ref="N484" si="350">M484*L484</f>
        <v>740.5200000000001</v>
      </c>
      <c r="O484" s="11">
        <f t="shared" ref="O484" si="351">N484+J484</f>
        <v>1464.1890560000002</v>
      </c>
      <c r="P484" s="54"/>
      <c r="Q484" s="39"/>
      <c r="R484" s="39"/>
      <c r="U484" s="41"/>
    </row>
    <row r="485" spans="1:21" s="40" customFormat="1" ht="16.8" customHeight="1">
      <c r="A485" s="33" t="str">
        <f>IF(H485&lt;&gt;"",1+MAX($A$5:A484),"")</f>
        <v/>
      </c>
      <c r="B485" s="79"/>
      <c r="C485" s="69"/>
      <c r="D485" s="95" t="s">
        <v>39</v>
      </c>
      <c r="E485" s="35">
        <f>ROUNDUP(G484/32,0)</f>
        <v>26</v>
      </c>
      <c r="F485" s="36"/>
      <c r="G485" s="37"/>
      <c r="H485" s="38"/>
      <c r="I485" s="19"/>
      <c r="J485" s="19"/>
      <c r="K485" s="31"/>
      <c r="L485" s="19"/>
      <c r="M485" s="32"/>
      <c r="N485" s="11"/>
      <c r="O485" s="11"/>
      <c r="P485" s="54"/>
      <c r="Q485" s="39"/>
      <c r="R485" s="39"/>
      <c r="U485" s="41"/>
    </row>
    <row r="486" spans="1:21" s="40" customFormat="1" ht="16.8" customHeight="1">
      <c r="A486" s="33" t="str">
        <f>IF(H486&lt;&gt;"",1+MAX($A$5:A485),"")</f>
        <v/>
      </c>
      <c r="B486" s="79"/>
      <c r="C486" s="69"/>
      <c r="D486" s="95" t="s">
        <v>33</v>
      </c>
      <c r="E486" s="35">
        <f>E485*48</f>
        <v>1248</v>
      </c>
      <c r="F486" s="36"/>
      <c r="G486" s="37"/>
      <c r="H486" s="38"/>
      <c r="I486" s="19"/>
      <c r="J486" s="19"/>
      <c r="K486" s="31"/>
      <c r="L486" s="19"/>
      <c r="M486" s="32"/>
      <c r="N486" s="11"/>
      <c r="O486" s="11"/>
      <c r="P486" s="54"/>
      <c r="Q486" s="39"/>
      <c r="R486" s="39"/>
      <c r="U486" s="41"/>
    </row>
    <row r="487" spans="1:21" s="40" customFormat="1" ht="16.8" customHeight="1">
      <c r="A487" s="33" t="str">
        <f>IF(H487&lt;&gt;"",1+MAX($A$5:A486),"")</f>
        <v/>
      </c>
      <c r="B487" s="79"/>
      <c r="C487" s="69"/>
      <c r="D487" s="95" t="s">
        <v>34</v>
      </c>
      <c r="E487" s="35">
        <f>E485</f>
        <v>26</v>
      </c>
      <c r="F487" s="36"/>
      <c r="G487" s="37"/>
      <c r="H487" s="38"/>
      <c r="I487" s="19"/>
      <c r="J487" s="19"/>
      <c r="K487" s="31"/>
      <c r="L487" s="19"/>
      <c r="M487" s="32"/>
      <c r="N487" s="11"/>
      <c r="O487" s="11"/>
      <c r="P487" s="54"/>
      <c r="Q487" s="39"/>
      <c r="R487" s="39"/>
      <c r="U487" s="41"/>
    </row>
    <row r="488" spans="1:21" s="40" customFormat="1" ht="16.8" customHeight="1">
      <c r="A488" s="33" t="str">
        <f>IF(H488&lt;&gt;"",1+MAX($A$5:A487),"")</f>
        <v/>
      </c>
      <c r="B488" s="79"/>
      <c r="C488" s="69"/>
      <c r="D488" s="95" t="s">
        <v>35</v>
      </c>
      <c r="E488" s="35">
        <f>E485*14</f>
        <v>364</v>
      </c>
      <c r="F488" s="36"/>
      <c r="G488" s="37"/>
      <c r="H488" s="38"/>
      <c r="I488" s="19"/>
      <c r="J488" s="19"/>
      <c r="K488" s="31"/>
      <c r="L488" s="19"/>
      <c r="M488" s="32"/>
      <c r="N488" s="11"/>
      <c r="O488" s="11"/>
      <c r="P488" s="54"/>
      <c r="Q488" s="39"/>
      <c r="R488" s="39"/>
      <c r="U488" s="41"/>
    </row>
    <row r="489" spans="1:21" s="40" customFormat="1" ht="16.8" customHeight="1">
      <c r="A489" s="33">
        <f>IF(H489&lt;&gt;"",1+MAX($A$5:A488),"")</f>
        <v>317</v>
      </c>
      <c r="B489" s="79"/>
      <c r="C489" s="69"/>
      <c r="D489" s="27" t="s">
        <v>42</v>
      </c>
      <c r="E489" s="35">
        <f>28.91*8</f>
        <v>231.28</v>
      </c>
      <c r="F489" s="36">
        <v>0.1</v>
      </c>
      <c r="G489" s="37">
        <f>(1+F489)*E489</f>
        <v>254.40800000000002</v>
      </c>
      <c r="H489" s="38" t="s">
        <v>32</v>
      </c>
      <c r="I489" s="19">
        <v>1.1472</v>
      </c>
      <c r="J489" s="19">
        <f t="shared" ref="J489" si="352">G489*I489</f>
        <v>291.85685760000001</v>
      </c>
      <c r="K489" s="31">
        <v>0.02</v>
      </c>
      <c r="L489" s="19">
        <f>$O$379</f>
        <v>45</v>
      </c>
      <c r="M489" s="32">
        <f t="shared" ref="M489" si="353">K489*G489</f>
        <v>5.0881600000000002</v>
      </c>
      <c r="N489" s="11">
        <f t="shared" ref="N489" si="354">M489*L489</f>
        <v>228.96720000000002</v>
      </c>
      <c r="O489" s="11">
        <f t="shared" ref="O489" si="355">N489+J489</f>
        <v>520.82405760000006</v>
      </c>
      <c r="P489" s="54"/>
      <c r="Q489" s="39"/>
      <c r="R489" s="39"/>
      <c r="U489" s="41"/>
    </row>
    <row r="490" spans="1:21" s="40" customFormat="1" ht="16.8" customHeight="1">
      <c r="A490" s="33" t="str">
        <f>IF(H490&lt;&gt;"",1+MAX($A$5:A489),"")</f>
        <v/>
      </c>
      <c r="B490" s="79"/>
      <c r="C490" s="69"/>
      <c r="D490" s="95" t="s">
        <v>39</v>
      </c>
      <c r="E490" s="35">
        <f>ROUNDUP(G489/32,0)</f>
        <v>8</v>
      </c>
      <c r="F490" s="36"/>
      <c r="G490" s="37"/>
      <c r="H490" s="38"/>
      <c r="I490" s="19"/>
      <c r="J490" s="19"/>
      <c r="K490" s="31"/>
      <c r="L490" s="19"/>
      <c r="M490" s="32"/>
      <c r="N490" s="11"/>
      <c r="O490" s="11"/>
      <c r="P490" s="54"/>
      <c r="Q490" s="39"/>
      <c r="R490" s="39"/>
      <c r="U490" s="41"/>
    </row>
    <row r="491" spans="1:21" s="40" customFormat="1" ht="16.8" customHeight="1">
      <c r="A491" s="33" t="str">
        <f>IF(H491&lt;&gt;"",1+MAX($A$5:A490),"")</f>
        <v/>
      </c>
      <c r="B491" s="79"/>
      <c r="C491" s="69"/>
      <c r="D491" s="95" t="s">
        <v>33</v>
      </c>
      <c r="E491" s="35">
        <f>E490*48</f>
        <v>384</v>
      </c>
      <c r="F491" s="36"/>
      <c r="G491" s="37"/>
      <c r="H491" s="38"/>
      <c r="I491" s="19"/>
      <c r="J491" s="19"/>
      <c r="K491" s="31"/>
      <c r="L491" s="19"/>
      <c r="M491" s="32"/>
      <c r="N491" s="11"/>
      <c r="O491" s="11"/>
      <c r="P491" s="54"/>
      <c r="Q491" s="39"/>
      <c r="R491" s="39"/>
      <c r="U491" s="41"/>
    </row>
    <row r="492" spans="1:21" s="40" customFormat="1" ht="16.8" customHeight="1">
      <c r="A492" s="33" t="str">
        <f>IF(H492&lt;&gt;"",1+MAX($A$5:A491),"")</f>
        <v/>
      </c>
      <c r="B492" s="79"/>
      <c r="C492" s="69"/>
      <c r="D492" s="95" t="s">
        <v>34</v>
      </c>
      <c r="E492" s="35">
        <f>E490</f>
        <v>8</v>
      </c>
      <c r="F492" s="36"/>
      <c r="G492" s="37"/>
      <c r="H492" s="38"/>
      <c r="I492" s="19"/>
      <c r="J492" s="19"/>
      <c r="K492" s="31"/>
      <c r="L492" s="19"/>
      <c r="M492" s="32"/>
      <c r="N492" s="11"/>
      <c r="O492" s="11"/>
      <c r="P492" s="54"/>
      <c r="Q492" s="39"/>
      <c r="R492" s="39"/>
      <c r="U492" s="41"/>
    </row>
    <row r="493" spans="1:21" s="40" customFormat="1" ht="16.8" customHeight="1">
      <c r="A493" s="33" t="str">
        <f>IF(H493&lt;&gt;"",1+MAX($A$5:A492),"")</f>
        <v/>
      </c>
      <c r="B493" s="79"/>
      <c r="C493" s="69"/>
      <c r="D493" s="95" t="s">
        <v>35</v>
      </c>
      <c r="E493" s="35">
        <f>E490*14</f>
        <v>112</v>
      </c>
      <c r="F493" s="36"/>
      <c r="G493" s="37"/>
      <c r="H493" s="38"/>
      <c r="I493" s="19"/>
      <c r="J493" s="19"/>
      <c r="K493" s="31"/>
      <c r="L493" s="19"/>
      <c r="M493" s="32"/>
      <c r="N493" s="11"/>
      <c r="O493" s="11"/>
      <c r="P493" s="54"/>
      <c r="Q493" s="39"/>
      <c r="R493" s="39"/>
      <c r="U493" s="41"/>
    </row>
    <row r="494" spans="1:21" s="40" customFormat="1" ht="16.8" customHeight="1">
      <c r="A494" s="33">
        <f>IF(H494&lt;&gt;"",1+MAX($A$5:A493),"")</f>
        <v>318</v>
      </c>
      <c r="B494" s="79"/>
      <c r="C494" s="69"/>
      <c r="D494" s="27" t="s">
        <v>324</v>
      </c>
      <c r="E494" s="35">
        <v>748</v>
      </c>
      <c r="F494" s="36">
        <v>0.1</v>
      </c>
      <c r="G494" s="37">
        <f>(1+F494)*E494</f>
        <v>822.80000000000007</v>
      </c>
      <c r="H494" s="38" t="s">
        <v>32</v>
      </c>
      <c r="I494" s="19">
        <v>1.30016</v>
      </c>
      <c r="J494" s="19">
        <f t="shared" ref="J494:J497" si="356">G494*I494</f>
        <v>1069.7716480000001</v>
      </c>
      <c r="K494" s="31">
        <v>2.1000000000000001E-2</v>
      </c>
      <c r="L494" s="19">
        <f t="shared" ref="L494:L497" si="357">$O$379</f>
        <v>45</v>
      </c>
      <c r="M494" s="32">
        <f t="shared" ref="M494:M497" si="358">K494*G494</f>
        <v>17.278800000000004</v>
      </c>
      <c r="N494" s="11">
        <f t="shared" ref="N494:N497" si="359">M494*L494</f>
        <v>777.54600000000016</v>
      </c>
      <c r="O494" s="11">
        <f t="shared" ref="O494:O497" si="360">N494+J494</f>
        <v>1847.3176480000002</v>
      </c>
      <c r="P494" s="54"/>
      <c r="Q494" s="39"/>
      <c r="R494" s="39"/>
      <c r="U494" s="41"/>
    </row>
    <row r="495" spans="1:21" s="40" customFormat="1" ht="16.8" customHeight="1">
      <c r="A495" s="33">
        <f>IF(H495&lt;&gt;"",1+MAX($A$5:A494),"")</f>
        <v>319</v>
      </c>
      <c r="B495" s="79"/>
      <c r="C495" s="69"/>
      <c r="D495" s="27" t="s">
        <v>314</v>
      </c>
      <c r="E495" s="35">
        <v>748</v>
      </c>
      <c r="F495" s="36">
        <v>0.1</v>
      </c>
      <c r="G495" s="37">
        <f>(1+F495)*E495</f>
        <v>822.80000000000007</v>
      </c>
      <c r="H495" s="38" t="s">
        <v>32</v>
      </c>
      <c r="I495" s="19">
        <v>0.59272000000000002</v>
      </c>
      <c r="J495" s="19">
        <f t="shared" si="356"/>
        <v>487.69001600000007</v>
      </c>
      <c r="K495" s="31">
        <v>8.9999999999999993E-3</v>
      </c>
      <c r="L495" s="19">
        <f t="shared" si="357"/>
        <v>45</v>
      </c>
      <c r="M495" s="32">
        <f t="shared" si="358"/>
        <v>7.4051999999999998</v>
      </c>
      <c r="N495" s="11">
        <f t="shared" si="359"/>
        <v>333.23399999999998</v>
      </c>
      <c r="O495" s="11">
        <f t="shared" si="360"/>
        <v>820.92401600000005</v>
      </c>
      <c r="P495" s="54"/>
      <c r="Q495" s="39"/>
      <c r="R495" s="39"/>
      <c r="U495" s="41"/>
    </row>
    <row r="496" spans="1:21" s="40" customFormat="1" ht="16.8" customHeight="1">
      <c r="A496" s="33">
        <f>IF(H496&lt;&gt;"",1+MAX($A$5:A495),"")</f>
        <v>320</v>
      </c>
      <c r="B496" s="79"/>
      <c r="C496" s="69"/>
      <c r="D496" s="27" t="s">
        <v>40</v>
      </c>
      <c r="E496" s="35">
        <f>4*86.36</f>
        <v>345.44</v>
      </c>
      <c r="F496" s="36">
        <v>0.1</v>
      </c>
      <c r="G496" s="37">
        <f>(1+F496)*E496</f>
        <v>379.98400000000004</v>
      </c>
      <c r="H496" s="38" t="s">
        <v>4</v>
      </c>
      <c r="I496" s="19">
        <v>0.37284</v>
      </c>
      <c r="J496" s="19">
        <f t="shared" si="356"/>
        <v>141.67323456000003</v>
      </c>
      <c r="K496" s="31">
        <v>6.6699999999999997E-3</v>
      </c>
      <c r="L496" s="19">
        <f t="shared" si="357"/>
        <v>45</v>
      </c>
      <c r="M496" s="32">
        <f t="shared" si="358"/>
        <v>2.53449328</v>
      </c>
      <c r="N496" s="11">
        <f t="shared" si="359"/>
        <v>114.0521976</v>
      </c>
      <c r="O496" s="11">
        <f t="shared" si="360"/>
        <v>255.72543216000003</v>
      </c>
      <c r="P496" s="54"/>
      <c r="Q496" s="39"/>
      <c r="R496" s="39"/>
      <c r="U496" s="41"/>
    </row>
    <row r="497" spans="1:21" s="40" customFormat="1" ht="16.8" customHeight="1">
      <c r="A497" s="33">
        <f>IF(H497&lt;&gt;"",1+MAX($A$5:A496),"")</f>
        <v>321</v>
      </c>
      <c r="B497" s="79"/>
      <c r="C497" s="69"/>
      <c r="D497" s="27" t="s">
        <v>43</v>
      </c>
      <c r="E497" s="35">
        <v>21.54</v>
      </c>
      <c r="F497" s="36">
        <v>0.1</v>
      </c>
      <c r="G497" s="37">
        <f>(1+F497)*E497</f>
        <v>23.694000000000003</v>
      </c>
      <c r="H497" s="38" t="s">
        <v>4</v>
      </c>
      <c r="I497" s="19">
        <v>1.5296000000000001</v>
      </c>
      <c r="J497" s="19">
        <f t="shared" si="356"/>
        <v>36.242342400000005</v>
      </c>
      <c r="K497" s="31">
        <v>0.02</v>
      </c>
      <c r="L497" s="19">
        <f t="shared" si="357"/>
        <v>45</v>
      </c>
      <c r="M497" s="32">
        <f t="shared" si="358"/>
        <v>0.47388000000000008</v>
      </c>
      <c r="N497" s="11">
        <f t="shared" si="359"/>
        <v>21.324600000000004</v>
      </c>
      <c r="O497" s="11">
        <f t="shared" si="360"/>
        <v>57.566942400000009</v>
      </c>
      <c r="P497" s="54"/>
      <c r="Q497" s="39"/>
      <c r="R497" s="39"/>
      <c r="U497" s="41"/>
    </row>
    <row r="498" spans="1:21" s="40" customFormat="1" ht="16.8" customHeight="1">
      <c r="A498" s="33" t="str">
        <f>IF(H498&lt;&gt;"",1+MAX($A$5:A497),"")</f>
        <v/>
      </c>
      <c r="B498" s="79"/>
      <c r="C498" s="69"/>
      <c r="D498" s="27" t="s">
        <v>96</v>
      </c>
      <c r="E498" s="35"/>
      <c r="F498" s="36"/>
      <c r="G498" s="37"/>
      <c r="H498" s="38"/>
      <c r="I498" s="19"/>
      <c r="J498" s="19"/>
      <c r="K498" s="31"/>
      <c r="L498" s="19"/>
      <c r="M498" s="32"/>
      <c r="N498" s="11"/>
      <c r="O498" s="11"/>
      <c r="P498" s="54"/>
      <c r="Q498" s="39"/>
      <c r="R498" s="39"/>
      <c r="U498" s="41"/>
    </row>
    <row r="499" spans="1:21" s="40" customFormat="1" ht="16.8" customHeight="1">
      <c r="A499" s="33" t="str">
        <f>IF(H499&lt;&gt;"",1+MAX($A$5:A498),"")</f>
        <v/>
      </c>
      <c r="B499" s="79"/>
      <c r="C499" s="69"/>
      <c r="D499" s="94" t="s">
        <v>325</v>
      </c>
      <c r="E499" s="35"/>
      <c r="F499" s="36"/>
      <c r="G499" s="37"/>
      <c r="H499" s="38"/>
      <c r="I499" s="19"/>
      <c r="J499" s="19"/>
      <c r="K499" s="31"/>
      <c r="L499" s="19"/>
      <c r="M499" s="32"/>
      <c r="N499" s="11"/>
      <c r="O499" s="11"/>
      <c r="P499" s="54"/>
      <c r="Q499" s="39"/>
      <c r="R499" s="39"/>
      <c r="U499" s="41"/>
    </row>
    <row r="500" spans="1:21" s="40" customFormat="1" ht="16.8" customHeight="1">
      <c r="A500" s="33">
        <f>IF(H500&lt;&gt;"",1+MAX($A$5:A499),"")</f>
        <v>322</v>
      </c>
      <c r="B500" s="79"/>
      <c r="C500" s="69"/>
      <c r="D500" s="27" t="s">
        <v>306</v>
      </c>
      <c r="E500" s="35">
        <v>179</v>
      </c>
      <c r="F500" s="36">
        <v>0.1</v>
      </c>
      <c r="G500" s="37">
        <f>(1+F500)*E500</f>
        <v>196.9</v>
      </c>
      <c r="H500" s="38" t="s">
        <v>32</v>
      </c>
      <c r="I500" s="19">
        <v>0.62139999999999995</v>
      </c>
      <c r="J500" s="19">
        <f t="shared" ref="J500" si="361">G500*I500</f>
        <v>122.35365999999999</v>
      </c>
      <c r="K500" s="31">
        <v>0.02</v>
      </c>
      <c r="L500" s="19">
        <f>$O$379</f>
        <v>45</v>
      </c>
      <c r="M500" s="32">
        <f t="shared" ref="M500" si="362">K500*G500</f>
        <v>3.9380000000000002</v>
      </c>
      <c r="N500" s="11">
        <f t="shared" ref="N500" si="363">M500*L500</f>
        <v>177.21</v>
      </c>
      <c r="O500" s="11">
        <f t="shared" ref="O500" si="364">N500+J500</f>
        <v>299.56366000000003</v>
      </c>
      <c r="P500" s="54"/>
      <c r="Q500" s="39"/>
      <c r="R500" s="39"/>
      <c r="U500" s="41"/>
    </row>
    <row r="501" spans="1:21" s="40" customFormat="1" ht="16.8" customHeight="1">
      <c r="A501" s="33" t="str">
        <f>IF(H501&lt;&gt;"",1+MAX($A$5:A500),"")</f>
        <v/>
      </c>
      <c r="B501" s="79"/>
      <c r="C501" s="69"/>
      <c r="D501" s="95" t="s">
        <v>39</v>
      </c>
      <c r="E501" s="35">
        <f>ROUNDUP(G500/32,0)</f>
        <v>7</v>
      </c>
      <c r="F501" s="36"/>
      <c r="G501" s="37"/>
      <c r="H501" s="38"/>
      <c r="I501" s="19"/>
      <c r="J501" s="19"/>
      <c r="K501" s="31"/>
      <c r="L501" s="19"/>
      <c r="M501" s="32"/>
      <c r="N501" s="11"/>
      <c r="O501" s="11"/>
      <c r="P501" s="54"/>
      <c r="Q501" s="39"/>
      <c r="R501" s="39"/>
      <c r="U501" s="41"/>
    </row>
    <row r="502" spans="1:21" s="40" customFormat="1" ht="16.8" customHeight="1">
      <c r="A502" s="33" t="str">
        <f>IF(H502&lt;&gt;"",1+MAX($A$5:A501),"")</f>
        <v/>
      </c>
      <c r="B502" s="79"/>
      <c r="C502" s="69"/>
      <c r="D502" s="95" t="s">
        <v>33</v>
      </c>
      <c r="E502" s="35">
        <f>E501*48</f>
        <v>336</v>
      </c>
      <c r="F502" s="36"/>
      <c r="G502" s="37"/>
      <c r="H502" s="38"/>
      <c r="I502" s="19"/>
      <c r="J502" s="19"/>
      <c r="K502" s="31"/>
      <c r="L502" s="19"/>
      <c r="M502" s="32"/>
      <c r="N502" s="11"/>
      <c r="O502" s="11"/>
      <c r="P502" s="54"/>
      <c r="Q502" s="39"/>
      <c r="R502" s="39"/>
      <c r="U502" s="41"/>
    </row>
    <row r="503" spans="1:21" s="40" customFormat="1" ht="16.8" customHeight="1">
      <c r="A503" s="33" t="str">
        <f>IF(H503&lt;&gt;"",1+MAX($A$5:A502),"")</f>
        <v/>
      </c>
      <c r="B503" s="79"/>
      <c r="C503" s="69"/>
      <c r="D503" s="95" t="s">
        <v>34</v>
      </c>
      <c r="E503" s="35">
        <f>E501</f>
        <v>7</v>
      </c>
      <c r="F503" s="36"/>
      <c r="G503" s="37"/>
      <c r="H503" s="38"/>
      <c r="I503" s="19"/>
      <c r="J503" s="19"/>
      <c r="K503" s="31"/>
      <c r="L503" s="19"/>
      <c r="M503" s="32"/>
      <c r="N503" s="11"/>
      <c r="O503" s="11"/>
      <c r="P503" s="54"/>
      <c r="Q503" s="39"/>
      <c r="R503" s="39"/>
      <c r="U503" s="41"/>
    </row>
    <row r="504" spans="1:21" s="40" customFormat="1" ht="16.8" customHeight="1">
      <c r="A504" s="33" t="str">
        <f>IF(H504&lt;&gt;"",1+MAX($A$5:A503),"")</f>
        <v/>
      </c>
      <c r="B504" s="79"/>
      <c r="C504" s="69"/>
      <c r="D504" s="95" t="s">
        <v>35</v>
      </c>
      <c r="E504" s="35">
        <f>E501*14</f>
        <v>98</v>
      </c>
      <c r="F504" s="36"/>
      <c r="G504" s="37"/>
      <c r="H504" s="38"/>
      <c r="I504" s="19"/>
      <c r="J504" s="19"/>
      <c r="K504" s="31"/>
      <c r="L504" s="19"/>
      <c r="M504" s="32"/>
      <c r="N504" s="11"/>
      <c r="O504" s="11"/>
      <c r="P504" s="54"/>
      <c r="Q504" s="39"/>
      <c r="R504" s="39"/>
      <c r="U504" s="41"/>
    </row>
    <row r="505" spans="1:21" s="40" customFormat="1" ht="16.8" customHeight="1">
      <c r="A505" s="33">
        <f>IF(H505&lt;&gt;"",1+MAX($A$5:A504),"")</f>
        <v>323</v>
      </c>
      <c r="B505" s="79"/>
      <c r="C505" s="69"/>
      <c r="D505" s="27" t="s">
        <v>326</v>
      </c>
      <c r="E505" s="35">
        <v>179</v>
      </c>
      <c r="F505" s="36">
        <v>0.1</v>
      </c>
      <c r="G505" s="37">
        <f>(1+F505)*E505</f>
        <v>196.9</v>
      </c>
      <c r="H505" s="38" t="s">
        <v>32</v>
      </c>
      <c r="I505" s="19">
        <v>0.74568000000000001</v>
      </c>
      <c r="J505" s="19">
        <f t="shared" ref="J505:J507" si="365">G505*I505</f>
        <v>146.82439200000002</v>
      </c>
      <c r="K505" s="31">
        <v>1.4999999999999999E-2</v>
      </c>
      <c r="L505" s="19">
        <f t="shared" ref="L505:L507" si="366">$O$379</f>
        <v>45</v>
      </c>
      <c r="M505" s="32">
        <f t="shared" ref="M505:M507" si="367">K505*G505</f>
        <v>2.9535</v>
      </c>
      <c r="N505" s="11">
        <f t="shared" ref="N505:N507" si="368">M505*L505</f>
        <v>132.9075</v>
      </c>
      <c r="O505" s="11">
        <f t="shared" ref="O505:O507" si="369">N505+J505</f>
        <v>279.73189200000002</v>
      </c>
      <c r="P505" s="54"/>
      <c r="Q505" s="39"/>
      <c r="R505" s="39"/>
      <c r="U505" s="41"/>
    </row>
    <row r="506" spans="1:21" s="40" customFormat="1" ht="16.8" customHeight="1">
      <c r="A506" s="33">
        <f>IF(H506&lt;&gt;"",1+MAX($A$5:A505),"")</f>
        <v>324</v>
      </c>
      <c r="B506" s="79"/>
      <c r="C506" s="69"/>
      <c r="D506" s="27" t="s">
        <v>317</v>
      </c>
      <c r="E506" s="35">
        <v>179</v>
      </c>
      <c r="F506" s="36">
        <v>0.1</v>
      </c>
      <c r="G506" s="37">
        <f>(1+F506)*E506</f>
        <v>196.9</v>
      </c>
      <c r="H506" s="38" t="s">
        <v>32</v>
      </c>
      <c r="I506" s="19">
        <v>0.59272000000000002</v>
      </c>
      <c r="J506" s="19">
        <f t="shared" si="365"/>
        <v>116.706568</v>
      </c>
      <c r="K506" s="31">
        <v>8.9999999999999993E-3</v>
      </c>
      <c r="L506" s="19">
        <f t="shared" si="366"/>
        <v>45</v>
      </c>
      <c r="M506" s="32">
        <f t="shared" si="367"/>
        <v>1.7721</v>
      </c>
      <c r="N506" s="11">
        <f t="shared" si="368"/>
        <v>79.744500000000002</v>
      </c>
      <c r="O506" s="11">
        <f t="shared" si="369"/>
        <v>196.45106800000002</v>
      </c>
      <c r="P506" s="54"/>
      <c r="Q506" s="39"/>
      <c r="R506" s="39"/>
      <c r="U506" s="41"/>
    </row>
    <row r="507" spans="1:21" s="40" customFormat="1" ht="16.8" customHeight="1">
      <c r="A507" s="33">
        <f>IF(H507&lt;&gt;"",1+MAX($A$5:A506),"")</f>
        <v>325</v>
      </c>
      <c r="B507" s="79"/>
      <c r="C507" s="69"/>
      <c r="D507" s="27" t="s">
        <v>40</v>
      </c>
      <c r="E507" s="35">
        <f>2*7.55</f>
        <v>15.1</v>
      </c>
      <c r="F507" s="36">
        <v>0.1</v>
      </c>
      <c r="G507" s="37">
        <f>(1+F507)*E507</f>
        <v>16.61</v>
      </c>
      <c r="H507" s="38" t="s">
        <v>4</v>
      </c>
      <c r="I507" s="19">
        <v>0.37284</v>
      </c>
      <c r="J507" s="19">
        <f t="shared" si="365"/>
        <v>6.1928723999999997</v>
      </c>
      <c r="K507" s="31">
        <v>6.6699999999999997E-3</v>
      </c>
      <c r="L507" s="19">
        <f t="shared" si="366"/>
        <v>45</v>
      </c>
      <c r="M507" s="32">
        <f t="shared" si="367"/>
        <v>0.11078869999999999</v>
      </c>
      <c r="N507" s="11">
        <f t="shared" si="368"/>
        <v>4.9854914999999993</v>
      </c>
      <c r="O507" s="11">
        <f t="shared" si="369"/>
        <v>11.178363899999999</v>
      </c>
      <c r="P507" s="54"/>
      <c r="Q507" s="39"/>
      <c r="R507" s="39"/>
      <c r="U507" s="41"/>
    </row>
    <row r="508" spans="1:21" s="40" customFormat="1" ht="16.8" customHeight="1">
      <c r="A508" s="33" t="str">
        <f>IF(H508&lt;&gt;"",1+MAX($A$5:A507),"")</f>
        <v/>
      </c>
      <c r="B508" s="79"/>
      <c r="C508" s="69"/>
      <c r="D508" s="27" t="s">
        <v>96</v>
      </c>
      <c r="E508" s="35"/>
      <c r="F508" s="36"/>
      <c r="G508" s="37"/>
      <c r="H508" s="38"/>
      <c r="I508" s="19"/>
      <c r="J508" s="19"/>
      <c r="K508" s="31"/>
      <c r="L508" s="19"/>
      <c r="M508" s="32"/>
      <c r="N508" s="11"/>
      <c r="O508" s="11"/>
      <c r="P508" s="54"/>
      <c r="Q508" s="39"/>
      <c r="R508" s="39"/>
      <c r="U508" s="41"/>
    </row>
    <row r="509" spans="1:21" s="40" customFormat="1" ht="16.8" customHeight="1">
      <c r="A509" s="33" t="str">
        <f>IF(H509&lt;&gt;"",1+MAX($A$5:A508),"")</f>
        <v/>
      </c>
      <c r="B509" s="79"/>
      <c r="C509" s="69"/>
      <c r="D509" s="114" t="s">
        <v>327</v>
      </c>
      <c r="E509" s="35"/>
      <c r="F509" s="36"/>
      <c r="G509" s="37"/>
      <c r="H509" s="38"/>
      <c r="I509" s="19"/>
      <c r="J509" s="19"/>
      <c r="K509" s="31"/>
      <c r="L509" s="19"/>
      <c r="M509" s="32"/>
      <c r="N509" s="11"/>
      <c r="O509" s="11"/>
      <c r="P509" s="54"/>
      <c r="Q509" s="39"/>
      <c r="R509" s="39"/>
      <c r="U509" s="41"/>
    </row>
    <row r="510" spans="1:21" s="40" customFormat="1" ht="16.8" customHeight="1">
      <c r="A510" s="33">
        <f>IF(H510&lt;&gt;"",1+MAX($A$5:A509),"")</f>
        <v>326</v>
      </c>
      <c r="B510" s="79"/>
      <c r="C510" s="69"/>
      <c r="D510" s="27" t="s">
        <v>328</v>
      </c>
      <c r="E510" s="35">
        <v>465</v>
      </c>
      <c r="F510" s="36">
        <v>0.1</v>
      </c>
      <c r="G510" s="37">
        <f>(1+F510)*E510</f>
        <v>511.50000000000006</v>
      </c>
      <c r="H510" s="38" t="s">
        <v>32</v>
      </c>
      <c r="I510" s="19">
        <v>0.62139999999999995</v>
      </c>
      <c r="J510" s="19">
        <f t="shared" ref="J510" si="370">G510*I510</f>
        <v>317.84610000000004</v>
      </c>
      <c r="K510" s="31">
        <v>0.02</v>
      </c>
      <c r="L510" s="19">
        <f>$O$379</f>
        <v>45</v>
      </c>
      <c r="M510" s="32">
        <f t="shared" ref="M510" si="371">K510*G510</f>
        <v>10.230000000000002</v>
      </c>
      <c r="N510" s="11">
        <f t="shared" ref="N510" si="372">M510*L510</f>
        <v>460.35000000000008</v>
      </c>
      <c r="O510" s="11">
        <f t="shared" ref="O510" si="373">N510+J510</f>
        <v>778.19610000000011</v>
      </c>
      <c r="P510" s="54"/>
      <c r="Q510" s="39"/>
      <c r="R510" s="39"/>
      <c r="U510" s="41"/>
    </row>
    <row r="511" spans="1:21" s="40" customFormat="1" ht="16.8" customHeight="1">
      <c r="A511" s="33" t="str">
        <f>IF(H511&lt;&gt;"",1+MAX($A$5:A510),"")</f>
        <v/>
      </c>
      <c r="B511" s="79"/>
      <c r="C511" s="69"/>
      <c r="D511" s="95" t="s">
        <v>39</v>
      </c>
      <c r="E511" s="35">
        <f>ROUNDUP(G510/32,0)</f>
        <v>16</v>
      </c>
      <c r="F511" s="36"/>
      <c r="G511" s="37"/>
      <c r="H511" s="38"/>
      <c r="I511" s="19"/>
      <c r="J511" s="19"/>
      <c r="K511" s="31"/>
      <c r="L511" s="19"/>
      <c r="M511" s="32"/>
      <c r="N511" s="11"/>
      <c r="O511" s="11"/>
      <c r="P511" s="54"/>
      <c r="Q511" s="39"/>
      <c r="R511" s="39"/>
      <c r="U511" s="41"/>
    </row>
    <row r="512" spans="1:21" s="40" customFormat="1" ht="16.8" customHeight="1">
      <c r="A512" s="33" t="str">
        <f>IF(H512&lt;&gt;"",1+MAX($A$5:A511),"")</f>
        <v/>
      </c>
      <c r="B512" s="79"/>
      <c r="C512" s="69"/>
      <c r="D512" s="95" t="s">
        <v>33</v>
      </c>
      <c r="E512" s="35">
        <f>E511*48</f>
        <v>768</v>
      </c>
      <c r="F512" s="36"/>
      <c r="G512" s="37"/>
      <c r="H512" s="38"/>
      <c r="I512" s="19"/>
      <c r="J512" s="19"/>
      <c r="K512" s="31"/>
      <c r="L512" s="19"/>
      <c r="M512" s="32"/>
      <c r="N512" s="11"/>
      <c r="O512" s="11"/>
      <c r="P512" s="54"/>
      <c r="Q512" s="39"/>
      <c r="R512" s="39"/>
      <c r="U512" s="41"/>
    </row>
    <row r="513" spans="1:21" s="40" customFormat="1" ht="16.8" customHeight="1">
      <c r="A513" s="33" t="str">
        <f>IF(H513&lt;&gt;"",1+MAX($A$5:A512),"")</f>
        <v/>
      </c>
      <c r="B513" s="79"/>
      <c r="C513" s="69"/>
      <c r="D513" s="95" t="s">
        <v>34</v>
      </c>
      <c r="E513" s="35">
        <f>E511</f>
        <v>16</v>
      </c>
      <c r="F513" s="36"/>
      <c r="G513" s="37"/>
      <c r="H513" s="38"/>
      <c r="I513" s="19"/>
      <c r="J513" s="19"/>
      <c r="K513" s="31"/>
      <c r="L513" s="19"/>
      <c r="M513" s="32"/>
      <c r="N513" s="11"/>
      <c r="O513" s="11"/>
      <c r="P513" s="54"/>
      <c r="Q513" s="39"/>
      <c r="R513" s="39"/>
      <c r="U513" s="41"/>
    </row>
    <row r="514" spans="1:21" s="40" customFormat="1" ht="16.8" customHeight="1">
      <c r="A514" s="33" t="str">
        <f>IF(H514&lt;&gt;"",1+MAX($A$5:A513),"")</f>
        <v/>
      </c>
      <c r="B514" s="79"/>
      <c r="C514" s="69"/>
      <c r="D514" s="95" t="s">
        <v>35</v>
      </c>
      <c r="E514" s="35">
        <f>E511*14</f>
        <v>224</v>
      </c>
      <c r="F514" s="36"/>
      <c r="G514" s="37"/>
      <c r="H514" s="38"/>
      <c r="I514" s="19"/>
      <c r="J514" s="19"/>
      <c r="K514" s="31"/>
      <c r="L514" s="19"/>
      <c r="M514" s="32"/>
      <c r="N514" s="11"/>
      <c r="O514" s="11"/>
      <c r="P514" s="54"/>
      <c r="Q514" s="39"/>
      <c r="R514" s="39"/>
      <c r="U514" s="41"/>
    </row>
    <row r="515" spans="1:21" s="40" customFormat="1" ht="16.8" customHeight="1">
      <c r="A515" s="33">
        <f>IF(H515&lt;&gt;"",1+MAX($A$5:A514),"")</f>
        <v>327</v>
      </c>
      <c r="B515" s="79"/>
      <c r="C515" s="69"/>
      <c r="D515" s="27" t="s">
        <v>329</v>
      </c>
      <c r="E515" s="35">
        <v>1308</v>
      </c>
      <c r="F515" s="36">
        <v>0.1</v>
      </c>
      <c r="G515" s="37">
        <f>(1+F515)*E515</f>
        <v>1438.8000000000002</v>
      </c>
      <c r="H515" s="38" t="s">
        <v>32</v>
      </c>
      <c r="I515" s="19">
        <v>0.62139999999999995</v>
      </c>
      <c r="J515" s="19">
        <f t="shared" ref="J515" si="374">G515*I515</f>
        <v>894.07032000000004</v>
      </c>
      <c r="K515" s="31">
        <v>0.02</v>
      </c>
      <c r="L515" s="19">
        <f>$O$379</f>
        <v>45</v>
      </c>
      <c r="M515" s="32">
        <f t="shared" ref="M515" si="375">K515*G515</f>
        <v>28.776000000000003</v>
      </c>
      <c r="N515" s="11">
        <f t="shared" ref="N515" si="376">M515*L515</f>
        <v>1294.92</v>
      </c>
      <c r="O515" s="11">
        <f t="shared" ref="O515" si="377">N515+J515</f>
        <v>2188.9903199999999</v>
      </c>
      <c r="P515" s="54"/>
      <c r="Q515" s="39"/>
      <c r="R515" s="39"/>
      <c r="U515" s="41"/>
    </row>
    <row r="516" spans="1:21" s="40" customFormat="1" ht="16.8" customHeight="1">
      <c r="A516" s="33" t="str">
        <f>IF(H516&lt;&gt;"",1+MAX($A$5:A515),"")</f>
        <v/>
      </c>
      <c r="B516" s="79"/>
      <c r="C516" s="69"/>
      <c r="D516" s="95" t="s">
        <v>39</v>
      </c>
      <c r="E516" s="35">
        <f>ROUNDUP(G515/32,0)</f>
        <v>45</v>
      </c>
      <c r="F516" s="36"/>
      <c r="G516" s="37"/>
      <c r="H516" s="38"/>
      <c r="I516" s="19"/>
      <c r="J516" s="19"/>
      <c r="K516" s="31"/>
      <c r="L516" s="19"/>
      <c r="M516" s="32"/>
      <c r="N516" s="11"/>
      <c r="O516" s="11"/>
      <c r="P516" s="54"/>
      <c r="Q516" s="39"/>
      <c r="R516" s="39"/>
      <c r="U516" s="41"/>
    </row>
    <row r="517" spans="1:21" s="40" customFormat="1" ht="16.8" customHeight="1">
      <c r="A517" s="33" t="str">
        <f>IF(H517&lt;&gt;"",1+MAX($A$5:A516),"")</f>
        <v/>
      </c>
      <c r="B517" s="79"/>
      <c r="C517" s="69"/>
      <c r="D517" s="95" t="s">
        <v>33</v>
      </c>
      <c r="E517" s="35">
        <f>E516*48</f>
        <v>2160</v>
      </c>
      <c r="F517" s="36"/>
      <c r="G517" s="37"/>
      <c r="H517" s="38"/>
      <c r="I517" s="19"/>
      <c r="J517" s="19"/>
      <c r="K517" s="31"/>
      <c r="L517" s="19"/>
      <c r="M517" s="32"/>
      <c r="N517" s="11"/>
      <c r="O517" s="11"/>
      <c r="P517" s="54"/>
      <c r="Q517" s="39"/>
      <c r="R517" s="39"/>
      <c r="U517" s="41"/>
    </row>
    <row r="518" spans="1:21" s="40" customFormat="1" ht="16.8" customHeight="1">
      <c r="A518" s="33" t="str">
        <f>IF(H518&lt;&gt;"",1+MAX($A$5:A517),"")</f>
        <v/>
      </c>
      <c r="B518" s="79"/>
      <c r="C518" s="69"/>
      <c r="D518" s="95" t="s">
        <v>34</v>
      </c>
      <c r="E518" s="35">
        <f>E516</f>
        <v>45</v>
      </c>
      <c r="F518" s="36"/>
      <c r="G518" s="37"/>
      <c r="H518" s="38"/>
      <c r="I518" s="19"/>
      <c r="J518" s="19"/>
      <c r="K518" s="31"/>
      <c r="L518" s="19"/>
      <c r="M518" s="32"/>
      <c r="N518" s="11"/>
      <c r="O518" s="11"/>
      <c r="P518" s="54"/>
      <c r="Q518" s="39"/>
      <c r="R518" s="39"/>
      <c r="U518" s="41"/>
    </row>
    <row r="519" spans="1:21" s="40" customFormat="1" ht="16.8" customHeight="1">
      <c r="A519" s="33" t="str">
        <f>IF(H519&lt;&gt;"",1+MAX($A$5:A518),"")</f>
        <v/>
      </c>
      <c r="B519" s="79"/>
      <c r="C519" s="69"/>
      <c r="D519" s="95" t="s">
        <v>35</v>
      </c>
      <c r="E519" s="35">
        <f>E516*14</f>
        <v>630</v>
      </c>
      <c r="F519" s="36"/>
      <c r="G519" s="37"/>
      <c r="H519" s="38"/>
      <c r="I519" s="19"/>
      <c r="J519" s="19"/>
      <c r="K519" s="31"/>
      <c r="L519" s="19"/>
      <c r="M519" s="32"/>
      <c r="N519" s="11"/>
      <c r="O519" s="11"/>
      <c r="P519" s="54"/>
      <c r="Q519" s="39"/>
      <c r="R519" s="39"/>
      <c r="U519" s="41"/>
    </row>
    <row r="520" spans="1:21" s="40" customFormat="1" ht="16.8" customHeight="1">
      <c r="A520" s="33">
        <f>IF(H520&lt;&gt;"",1+MAX($A$5:A519),"")</f>
        <v>328</v>
      </c>
      <c r="B520" s="79"/>
      <c r="C520" s="69"/>
      <c r="D520" s="27" t="s">
        <v>330</v>
      </c>
      <c r="E520" s="35">
        <v>608</v>
      </c>
      <c r="F520" s="36">
        <v>0.1</v>
      </c>
      <c r="G520" s="37">
        <f>(1+F520)*E520</f>
        <v>668.80000000000007</v>
      </c>
      <c r="H520" s="38" t="s">
        <v>32</v>
      </c>
      <c r="I520" s="19">
        <v>0.87951999999999997</v>
      </c>
      <c r="J520" s="19">
        <f t="shared" ref="J520" si="378">G520*I520</f>
        <v>588.22297600000002</v>
      </c>
      <c r="K520" s="31">
        <v>0.02</v>
      </c>
      <c r="L520" s="19">
        <f>$O$379</f>
        <v>45</v>
      </c>
      <c r="M520" s="32">
        <f t="shared" ref="M520" si="379">K520*G520</f>
        <v>13.376000000000001</v>
      </c>
      <c r="N520" s="11">
        <f t="shared" ref="N520" si="380">M520*L520</f>
        <v>601.92000000000007</v>
      </c>
      <c r="O520" s="11">
        <f t="shared" ref="O520" si="381">N520+J520</f>
        <v>1190.1429760000001</v>
      </c>
      <c r="P520" s="54"/>
      <c r="Q520" s="39"/>
      <c r="R520" s="39"/>
      <c r="U520" s="41"/>
    </row>
    <row r="521" spans="1:21" s="40" customFormat="1" ht="16.8" customHeight="1">
      <c r="A521" s="33" t="str">
        <f>IF(H521&lt;&gt;"",1+MAX($A$5:A520),"")</f>
        <v/>
      </c>
      <c r="B521" s="79"/>
      <c r="C521" s="69"/>
      <c r="D521" s="95" t="s">
        <v>39</v>
      </c>
      <c r="E521" s="35">
        <f>ROUNDUP(G520/32,0)</f>
        <v>21</v>
      </c>
      <c r="F521" s="36"/>
      <c r="G521" s="37"/>
      <c r="H521" s="38"/>
      <c r="I521" s="19"/>
      <c r="J521" s="19"/>
      <c r="K521" s="31"/>
      <c r="L521" s="19"/>
      <c r="M521" s="32"/>
      <c r="N521" s="11"/>
      <c r="O521" s="11"/>
      <c r="P521" s="54"/>
      <c r="Q521" s="39"/>
      <c r="R521" s="39"/>
      <c r="U521" s="41"/>
    </row>
    <row r="522" spans="1:21" s="40" customFormat="1" ht="16.8" customHeight="1">
      <c r="A522" s="33" t="str">
        <f>IF(H522&lt;&gt;"",1+MAX($A$5:A521),"")</f>
        <v/>
      </c>
      <c r="B522" s="79"/>
      <c r="C522" s="69"/>
      <c r="D522" s="95" t="s">
        <v>33</v>
      </c>
      <c r="E522" s="35">
        <f>E521*48</f>
        <v>1008</v>
      </c>
      <c r="F522" s="36"/>
      <c r="G522" s="37"/>
      <c r="H522" s="38"/>
      <c r="I522" s="19"/>
      <c r="J522" s="19"/>
      <c r="K522" s="31"/>
      <c r="L522" s="19"/>
      <c r="M522" s="32"/>
      <c r="N522" s="11"/>
      <c r="O522" s="11"/>
      <c r="P522" s="54"/>
      <c r="Q522" s="39"/>
      <c r="R522" s="39"/>
      <c r="U522" s="41"/>
    </row>
    <row r="523" spans="1:21" s="40" customFormat="1" ht="16.8" customHeight="1">
      <c r="A523" s="33" t="str">
        <f>IF(H523&lt;&gt;"",1+MAX($A$5:A522),"")</f>
        <v/>
      </c>
      <c r="B523" s="79"/>
      <c r="C523" s="69"/>
      <c r="D523" s="95" t="s">
        <v>34</v>
      </c>
      <c r="E523" s="35">
        <f>E521</f>
        <v>21</v>
      </c>
      <c r="F523" s="36"/>
      <c r="G523" s="37"/>
      <c r="H523" s="38"/>
      <c r="I523" s="19"/>
      <c r="J523" s="19"/>
      <c r="K523" s="31"/>
      <c r="L523" s="19"/>
      <c r="M523" s="32"/>
      <c r="N523" s="11"/>
      <c r="O523" s="11"/>
      <c r="P523" s="54"/>
      <c r="Q523" s="39"/>
      <c r="R523" s="39"/>
      <c r="U523" s="41"/>
    </row>
    <row r="524" spans="1:21" s="40" customFormat="1" ht="16.8" customHeight="1">
      <c r="A524" s="33" t="str">
        <f>IF(H524&lt;&gt;"",1+MAX($A$5:A523),"")</f>
        <v/>
      </c>
      <c r="B524" s="79"/>
      <c r="C524" s="69"/>
      <c r="D524" s="95" t="s">
        <v>35</v>
      </c>
      <c r="E524" s="35">
        <f>E521*14</f>
        <v>294</v>
      </c>
      <c r="F524" s="36"/>
      <c r="G524" s="37"/>
      <c r="H524" s="38"/>
      <c r="I524" s="19"/>
      <c r="J524" s="19"/>
      <c r="K524" s="31"/>
      <c r="L524" s="19"/>
      <c r="M524" s="32"/>
      <c r="N524" s="11"/>
      <c r="O524" s="11"/>
      <c r="P524" s="54"/>
      <c r="Q524" s="39"/>
      <c r="R524" s="39"/>
      <c r="U524" s="41"/>
    </row>
    <row r="525" spans="1:21" s="40" customFormat="1" ht="16.8" customHeight="1">
      <c r="A525" s="33">
        <f>IF(H525&lt;&gt;"",1+MAX($A$5:A524),"")</f>
        <v>329</v>
      </c>
      <c r="B525" s="79"/>
      <c r="C525" s="69"/>
      <c r="D525" s="27" t="s">
        <v>331</v>
      </c>
      <c r="E525" s="35">
        <v>580</v>
      </c>
      <c r="F525" s="36">
        <v>0.1</v>
      </c>
      <c r="G525" s="37">
        <f>(1+F525)*E525</f>
        <v>638</v>
      </c>
      <c r="H525" s="38" t="s">
        <v>32</v>
      </c>
      <c r="I525" s="19">
        <v>2.5525199999999999</v>
      </c>
      <c r="J525" s="19">
        <f t="shared" ref="J525:J527" si="382">G525*I525</f>
        <v>1628.50776</v>
      </c>
      <c r="K525" s="31">
        <v>0.04</v>
      </c>
      <c r="L525" s="19">
        <f t="shared" ref="L525:L526" si="383">$O$379</f>
        <v>45</v>
      </c>
      <c r="M525" s="32">
        <f t="shared" ref="M525:M527" si="384">K525*G525</f>
        <v>25.52</v>
      </c>
      <c r="N525" s="11">
        <f t="shared" ref="N525:N527" si="385">M525*L525</f>
        <v>1148.4000000000001</v>
      </c>
      <c r="O525" s="11">
        <f t="shared" ref="O525:O527" si="386">N525+J525</f>
        <v>2776.9077600000001</v>
      </c>
      <c r="P525" s="54"/>
      <c r="Q525" s="39"/>
      <c r="R525" s="39"/>
      <c r="U525" s="41"/>
    </row>
    <row r="526" spans="1:21" s="40" customFormat="1" ht="16.8" customHeight="1">
      <c r="A526" s="33">
        <f>IF(H526&lt;&gt;"",1+MAX($A$5:A525),"")</f>
        <v>330</v>
      </c>
      <c r="B526" s="79"/>
      <c r="C526" s="69"/>
      <c r="D526" s="27" t="s">
        <v>332</v>
      </c>
      <c r="E526" s="35">
        <f>SUM(E510,E515,E520,)</f>
        <v>2381</v>
      </c>
      <c r="F526" s="36">
        <v>0.1</v>
      </c>
      <c r="G526" s="37">
        <f>(1+F526)*E526</f>
        <v>2619.1000000000004</v>
      </c>
      <c r="H526" s="38" t="s">
        <v>32</v>
      </c>
      <c r="I526" s="19">
        <v>1.3861999999999999</v>
      </c>
      <c r="J526" s="19">
        <f t="shared" si="382"/>
        <v>3630.5964200000003</v>
      </c>
      <c r="K526" s="31">
        <v>0.01</v>
      </c>
      <c r="L526" s="19">
        <f t="shared" si="383"/>
        <v>45</v>
      </c>
      <c r="M526" s="32">
        <f t="shared" si="384"/>
        <v>26.191000000000003</v>
      </c>
      <c r="N526" s="11">
        <f t="shared" si="385"/>
        <v>1178.595</v>
      </c>
      <c r="O526" s="11">
        <f t="shared" si="386"/>
        <v>4809.1914200000001</v>
      </c>
      <c r="P526" s="54"/>
      <c r="Q526" s="39"/>
      <c r="R526" s="39"/>
      <c r="U526" s="41"/>
    </row>
    <row r="527" spans="1:21" s="40" customFormat="1" ht="16.8" customHeight="1">
      <c r="A527" s="33">
        <f>IF(H527&lt;&gt;"",1+MAX($A$5:A526),"")</f>
        <v>331</v>
      </c>
      <c r="B527" s="79"/>
      <c r="C527" s="69"/>
      <c r="D527" s="27" t="s">
        <v>333</v>
      </c>
      <c r="E527" s="35">
        <v>503.15</v>
      </c>
      <c r="F527" s="36">
        <v>0.1</v>
      </c>
      <c r="G527" s="37">
        <f>(1+F527)*E527</f>
        <v>553.46500000000003</v>
      </c>
      <c r="H527" s="38" t="s">
        <v>4</v>
      </c>
      <c r="I527" s="19">
        <v>1.51048</v>
      </c>
      <c r="J527" s="19">
        <f t="shared" si="382"/>
        <v>835.99781320000011</v>
      </c>
      <c r="K527" s="31">
        <v>3.2000000000000001E-2</v>
      </c>
      <c r="L527" s="19">
        <f>$O$379</f>
        <v>45</v>
      </c>
      <c r="M527" s="32">
        <f t="shared" si="384"/>
        <v>17.710880000000003</v>
      </c>
      <c r="N527" s="11">
        <f t="shared" si="385"/>
        <v>796.98960000000011</v>
      </c>
      <c r="O527" s="11">
        <f t="shared" si="386"/>
        <v>1632.9874132000002</v>
      </c>
      <c r="P527" s="54"/>
      <c r="Q527" s="39"/>
      <c r="R527" s="39"/>
      <c r="U527" s="41"/>
    </row>
    <row r="528" spans="1:21" s="40" customFormat="1" ht="16.8" customHeight="1">
      <c r="A528" s="33" t="str">
        <f>IF(H528&lt;&gt;"",1+MAX($A$5:A527),"")</f>
        <v/>
      </c>
      <c r="B528" s="79"/>
      <c r="C528" s="69"/>
      <c r="D528" s="27" t="s">
        <v>96</v>
      </c>
      <c r="E528" s="35"/>
      <c r="F528" s="36"/>
      <c r="G528" s="37"/>
      <c r="H528" s="38"/>
      <c r="I528" s="19"/>
      <c r="J528" s="19"/>
      <c r="K528" s="31"/>
      <c r="L528" s="19"/>
      <c r="M528" s="32"/>
      <c r="N528" s="11"/>
      <c r="O528" s="11"/>
      <c r="P528" s="54"/>
      <c r="Q528" s="39"/>
      <c r="R528" s="39"/>
      <c r="U528" s="41"/>
    </row>
    <row r="529" spans="1:21" s="40" customFormat="1" ht="16.8" customHeight="1">
      <c r="A529" s="33" t="str">
        <f>IF(H529&lt;&gt;"",1+MAX($A$5:A528),"")</f>
        <v/>
      </c>
      <c r="B529" s="79"/>
      <c r="C529" s="69"/>
      <c r="D529" s="114" t="s">
        <v>334</v>
      </c>
      <c r="E529" s="35"/>
      <c r="F529" s="36"/>
      <c r="G529" s="37"/>
      <c r="H529" s="38"/>
      <c r="I529" s="19"/>
      <c r="J529" s="19"/>
      <c r="K529" s="31"/>
      <c r="L529" s="19"/>
      <c r="M529" s="32"/>
      <c r="N529" s="11"/>
      <c r="O529" s="11"/>
      <c r="P529" s="54"/>
      <c r="Q529" s="39"/>
      <c r="R529" s="39"/>
      <c r="U529" s="41"/>
    </row>
    <row r="530" spans="1:21" s="40" customFormat="1" ht="16.8" customHeight="1">
      <c r="A530" s="33">
        <f>IF(H530&lt;&gt;"",1+MAX($A$5:A529),"")</f>
        <v>332</v>
      </c>
      <c r="B530" s="79"/>
      <c r="C530" s="69"/>
      <c r="D530" s="27" t="s">
        <v>335</v>
      </c>
      <c r="E530" s="35">
        <v>198</v>
      </c>
      <c r="F530" s="36">
        <v>0.1</v>
      </c>
      <c r="G530" s="37">
        <f>(1+F530)*E530</f>
        <v>217.8</v>
      </c>
      <c r="H530" s="38" t="s">
        <v>32</v>
      </c>
      <c r="I530" s="19">
        <v>8.1259999999999994</v>
      </c>
      <c r="J530" s="19">
        <f t="shared" ref="J530:J533" si="387">G530*I530</f>
        <v>1769.8427999999999</v>
      </c>
      <c r="K530" s="31">
        <v>5.2999999999999999E-2</v>
      </c>
      <c r="L530" s="19">
        <f t="shared" ref="L530:L532" si="388">$O$379</f>
        <v>45</v>
      </c>
      <c r="M530" s="32">
        <f t="shared" ref="M530:M533" si="389">K530*G530</f>
        <v>11.5434</v>
      </c>
      <c r="N530" s="11">
        <f t="shared" ref="N530:N533" si="390">M530*L530</f>
        <v>519.45299999999997</v>
      </c>
      <c r="O530" s="11">
        <f t="shared" ref="O530:O533" si="391">N530+J530</f>
        <v>2289.2957999999999</v>
      </c>
      <c r="P530" s="54"/>
      <c r="Q530" s="39"/>
      <c r="R530" s="39"/>
      <c r="U530" s="41"/>
    </row>
    <row r="531" spans="1:21" s="40" customFormat="1" ht="16.8" customHeight="1">
      <c r="A531" s="33">
        <f>IF(H531&lt;&gt;"",1+MAX($A$5:A530),"")</f>
        <v>333</v>
      </c>
      <c r="B531" s="79"/>
      <c r="C531" s="69"/>
      <c r="D531" s="27" t="s">
        <v>336</v>
      </c>
      <c r="E531" s="35">
        <v>1719</v>
      </c>
      <c r="F531" s="36">
        <v>0.1</v>
      </c>
      <c r="G531" s="37">
        <f>(1+F531)*E531</f>
        <v>1890.9</v>
      </c>
      <c r="H531" s="38" t="s">
        <v>32</v>
      </c>
      <c r="I531" s="19">
        <v>4.9234</v>
      </c>
      <c r="J531" s="19">
        <f t="shared" si="387"/>
        <v>9309.6570599999995</v>
      </c>
      <c r="K531" s="31">
        <v>5.2999999999999999E-2</v>
      </c>
      <c r="L531" s="19">
        <f t="shared" si="388"/>
        <v>45</v>
      </c>
      <c r="M531" s="32">
        <f t="shared" si="389"/>
        <v>100.21770000000001</v>
      </c>
      <c r="N531" s="11">
        <f t="shared" si="390"/>
        <v>4509.7965000000004</v>
      </c>
      <c r="O531" s="11">
        <f t="shared" si="391"/>
        <v>13819.45356</v>
      </c>
      <c r="P531" s="54"/>
      <c r="Q531" s="39"/>
      <c r="R531" s="39"/>
      <c r="U531" s="41"/>
    </row>
    <row r="532" spans="1:21" s="40" customFormat="1" ht="16.8" customHeight="1">
      <c r="A532" s="33">
        <f>IF(H532&lt;&gt;"",1+MAX($A$5:A531),"")</f>
        <v>334</v>
      </c>
      <c r="B532" s="79"/>
      <c r="C532" s="69"/>
      <c r="D532" s="27" t="s">
        <v>337</v>
      </c>
      <c r="E532" s="35">
        <v>293</v>
      </c>
      <c r="F532" s="36">
        <v>0.1</v>
      </c>
      <c r="G532" s="37">
        <f>(1+F532)*E532</f>
        <v>322.3</v>
      </c>
      <c r="H532" s="38" t="s">
        <v>32</v>
      </c>
      <c r="I532" s="19">
        <v>1.1949999999999998</v>
      </c>
      <c r="J532" s="19">
        <f t="shared" si="387"/>
        <v>385.14849999999996</v>
      </c>
      <c r="K532" s="31">
        <v>0.02</v>
      </c>
      <c r="L532" s="19">
        <f t="shared" si="388"/>
        <v>45</v>
      </c>
      <c r="M532" s="32">
        <f t="shared" si="389"/>
        <v>6.4460000000000006</v>
      </c>
      <c r="N532" s="11">
        <f t="shared" si="390"/>
        <v>290.07000000000005</v>
      </c>
      <c r="O532" s="11">
        <f t="shared" si="391"/>
        <v>675.21849999999995</v>
      </c>
      <c r="P532" s="54"/>
      <c r="Q532" s="39"/>
      <c r="R532" s="39"/>
      <c r="U532" s="41"/>
    </row>
    <row r="533" spans="1:21" s="40" customFormat="1" ht="16.8" customHeight="1">
      <c r="A533" s="33">
        <f>IF(H533&lt;&gt;"",1+MAX($A$5:A532),"")</f>
        <v>335</v>
      </c>
      <c r="B533" s="79"/>
      <c r="C533" s="69"/>
      <c r="D533" s="27" t="s">
        <v>338</v>
      </c>
      <c r="E533" s="35">
        <v>496</v>
      </c>
      <c r="F533" s="36">
        <v>0.1</v>
      </c>
      <c r="G533" s="37">
        <f>(1+F533)*E533</f>
        <v>545.6</v>
      </c>
      <c r="H533" s="38" t="s">
        <v>32</v>
      </c>
      <c r="I533" s="19">
        <v>5.0667999999999997</v>
      </c>
      <c r="J533" s="19">
        <f t="shared" si="387"/>
        <v>2764.4460800000002</v>
      </c>
      <c r="K533" s="31">
        <v>5.2999999999999999E-2</v>
      </c>
      <c r="L533" s="19">
        <f>$O$379</f>
        <v>45</v>
      </c>
      <c r="M533" s="32">
        <f t="shared" si="389"/>
        <v>28.916800000000002</v>
      </c>
      <c r="N533" s="11">
        <f t="shared" si="390"/>
        <v>1301.2560000000001</v>
      </c>
      <c r="O533" s="11">
        <f t="shared" si="391"/>
        <v>4065.70208</v>
      </c>
      <c r="P533" s="54"/>
      <c r="Q533" s="39"/>
      <c r="R533" s="39"/>
      <c r="U533" s="41"/>
    </row>
    <row r="534" spans="1:21" s="40" customFormat="1" ht="16.8" customHeight="1">
      <c r="A534" s="33" t="str">
        <f>IF(H534&lt;&gt;"",1+MAX($A$5:A533),"")</f>
        <v/>
      </c>
      <c r="B534" s="79"/>
      <c r="C534" s="69"/>
      <c r="D534" s="27" t="s">
        <v>96</v>
      </c>
      <c r="E534" s="35"/>
      <c r="F534" s="36"/>
      <c r="G534" s="37"/>
      <c r="H534" s="38"/>
      <c r="I534" s="19"/>
      <c r="J534" s="19"/>
      <c r="K534" s="31"/>
      <c r="L534" s="19"/>
      <c r="M534" s="32"/>
      <c r="N534" s="11"/>
      <c r="O534" s="11"/>
      <c r="P534" s="54"/>
      <c r="Q534" s="39"/>
      <c r="R534" s="39"/>
      <c r="U534" s="41"/>
    </row>
    <row r="535" spans="1:21" s="40" customFormat="1" ht="16.8" customHeight="1">
      <c r="A535" s="33" t="str">
        <f>IF(H535&lt;&gt;"",1+MAX($A$5:A534),"")</f>
        <v/>
      </c>
      <c r="B535" s="79"/>
      <c r="C535" s="69"/>
      <c r="D535" s="114" t="s">
        <v>339</v>
      </c>
      <c r="E535" s="35"/>
      <c r="F535" s="36"/>
      <c r="G535" s="37"/>
      <c r="H535" s="38"/>
      <c r="I535" s="19"/>
      <c r="J535" s="19"/>
      <c r="K535" s="31"/>
      <c r="L535" s="19"/>
      <c r="M535" s="32"/>
      <c r="N535" s="11"/>
      <c r="O535" s="11"/>
      <c r="P535" s="54"/>
      <c r="Q535" s="39"/>
      <c r="R535" s="39"/>
      <c r="U535" s="41"/>
    </row>
    <row r="536" spans="1:21" s="40" customFormat="1" ht="16.8" customHeight="1">
      <c r="A536" s="33">
        <f>IF(H536&lt;&gt;"",1+MAX($A$5:A535),"")</f>
        <v>336</v>
      </c>
      <c r="B536" s="79"/>
      <c r="C536" s="69"/>
      <c r="D536" s="27" t="s">
        <v>340</v>
      </c>
      <c r="E536" s="35">
        <v>3.11</v>
      </c>
      <c r="F536" s="36">
        <v>0.1</v>
      </c>
      <c r="G536" s="37">
        <f>(1+F536)*E536</f>
        <v>3.4210000000000003</v>
      </c>
      <c r="H536" s="38" t="s">
        <v>4</v>
      </c>
      <c r="I536" s="19">
        <v>1.4148799999999999</v>
      </c>
      <c r="J536" s="19">
        <f t="shared" ref="J536:J538" si="392">G536*I536</f>
        <v>4.8403044800000004</v>
      </c>
      <c r="K536" s="31">
        <v>2.5000000000000001E-2</v>
      </c>
      <c r="L536" s="19">
        <f t="shared" ref="L536:L538" si="393">$O$379</f>
        <v>45</v>
      </c>
      <c r="M536" s="32">
        <f t="shared" ref="M536:M538" si="394">K536*G536</f>
        <v>8.5525000000000018E-2</v>
      </c>
      <c r="N536" s="11">
        <f t="shared" ref="N536:N538" si="395">M536*L536</f>
        <v>3.8486250000000006</v>
      </c>
      <c r="O536" s="11">
        <f t="shared" ref="O536:O538" si="396">N536+J536</f>
        <v>8.6889294800000005</v>
      </c>
      <c r="P536" s="54"/>
      <c r="Q536" s="39"/>
      <c r="R536" s="39"/>
      <c r="U536" s="41"/>
    </row>
    <row r="537" spans="1:21" s="40" customFormat="1" ht="16.8" customHeight="1">
      <c r="A537" s="33">
        <f>IF(H537&lt;&gt;"",1+MAX($A$5:A536),"")</f>
        <v>337</v>
      </c>
      <c r="B537" s="79"/>
      <c r="C537" s="69"/>
      <c r="D537" s="27" t="s">
        <v>341</v>
      </c>
      <c r="E537" s="35">
        <v>11.59</v>
      </c>
      <c r="F537" s="36">
        <v>0.1</v>
      </c>
      <c r="G537" s="37">
        <f>(1+F537)*E537</f>
        <v>12.749000000000001</v>
      </c>
      <c r="H537" s="38" t="s">
        <v>4</v>
      </c>
      <c r="I537" s="19">
        <v>1.4148799999999999</v>
      </c>
      <c r="J537" s="19">
        <f t="shared" si="392"/>
        <v>18.03830512</v>
      </c>
      <c r="K537" s="31">
        <v>2.5000000000000001E-2</v>
      </c>
      <c r="L537" s="19">
        <f t="shared" si="393"/>
        <v>45</v>
      </c>
      <c r="M537" s="32">
        <f t="shared" si="394"/>
        <v>0.31872500000000004</v>
      </c>
      <c r="N537" s="11">
        <f t="shared" si="395"/>
        <v>14.342625000000002</v>
      </c>
      <c r="O537" s="11">
        <f t="shared" si="396"/>
        <v>32.380930120000002</v>
      </c>
      <c r="P537" s="54"/>
      <c r="Q537" s="39"/>
      <c r="R537" s="39"/>
      <c r="U537" s="41"/>
    </row>
    <row r="538" spans="1:21" s="40" customFormat="1" ht="16.8" customHeight="1">
      <c r="A538" s="33">
        <f>IF(H538&lt;&gt;"",1+MAX($A$5:A537),"")</f>
        <v>338</v>
      </c>
      <c r="B538" s="79"/>
      <c r="C538" s="69"/>
      <c r="D538" s="27" t="s">
        <v>342</v>
      </c>
      <c r="E538" s="35">
        <v>73.319999999999993</v>
      </c>
      <c r="F538" s="36">
        <v>0.1</v>
      </c>
      <c r="G538" s="37">
        <f>(1+F538)*E538</f>
        <v>80.652000000000001</v>
      </c>
      <c r="H538" s="38" t="s">
        <v>4</v>
      </c>
      <c r="I538" s="19">
        <v>1.4148799999999999</v>
      </c>
      <c r="J538" s="19">
        <f t="shared" si="392"/>
        <v>114.11290176</v>
      </c>
      <c r="K538" s="31">
        <v>2.5000000000000001E-2</v>
      </c>
      <c r="L538" s="19">
        <f t="shared" si="393"/>
        <v>45</v>
      </c>
      <c r="M538" s="32">
        <f t="shared" si="394"/>
        <v>2.0163000000000002</v>
      </c>
      <c r="N538" s="11">
        <f t="shared" si="395"/>
        <v>90.733500000000006</v>
      </c>
      <c r="O538" s="11">
        <f t="shared" si="396"/>
        <v>204.84640175999999</v>
      </c>
      <c r="P538" s="54"/>
      <c r="Q538" s="39"/>
      <c r="R538" s="39"/>
      <c r="U538" s="41"/>
    </row>
    <row r="539" spans="1:21" s="40" customFormat="1" ht="16.8" customHeight="1">
      <c r="A539" s="33" t="str">
        <f>IF(H539&lt;&gt;"",1+MAX($A$5:A538),"")</f>
        <v/>
      </c>
      <c r="B539" s="79"/>
      <c r="C539" s="69"/>
      <c r="D539" s="27" t="s">
        <v>96</v>
      </c>
      <c r="E539" s="35"/>
      <c r="F539" s="36"/>
      <c r="G539" s="37"/>
      <c r="H539" s="38"/>
      <c r="I539" s="19"/>
      <c r="J539" s="19"/>
      <c r="K539" s="31"/>
      <c r="L539" s="19"/>
      <c r="M539" s="32"/>
      <c r="N539" s="11"/>
      <c r="O539" s="11"/>
      <c r="P539" s="54"/>
      <c r="Q539" s="39"/>
      <c r="R539" s="39"/>
      <c r="U539" s="41"/>
    </row>
    <row r="540" spans="1:21" s="40" customFormat="1" ht="16.8" customHeight="1">
      <c r="A540" s="33" t="str">
        <f>IF(H540&lt;&gt;"",1+MAX($A$5:A539),"")</f>
        <v/>
      </c>
      <c r="B540" s="79"/>
      <c r="C540" s="69"/>
      <c r="D540" s="114" t="s">
        <v>343</v>
      </c>
      <c r="E540" s="35"/>
      <c r="F540" s="36"/>
      <c r="G540" s="37"/>
      <c r="H540" s="38"/>
      <c r="I540" s="19"/>
      <c r="J540" s="19"/>
      <c r="K540" s="31"/>
      <c r="L540" s="19"/>
      <c r="M540" s="32"/>
      <c r="N540" s="11"/>
      <c r="O540" s="11"/>
      <c r="P540" s="54"/>
      <c r="Q540" s="39"/>
      <c r="R540" s="39"/>
      <c r="U540" s="41"/>
    </row>
    <row r="541" spans="1:21" s="40" customFormat="1" ht="16.8" customHeight="1">
      <c r="A541" s="33">
        <f>IF(H541&lt;&gt;"",1+MAX($A$5:A540),"")</f>
        <v>339</v>
      </c>
      <c r="B541" s="79"/>
      <c r="C541" s="69"/>
      <c r="D541" s="27" t="s">
        <v>344</v>
      </c>
      <c r="E541" s="35">
        <v>519.09</v>
      </c>
      <c r="F541" s="36">
        <v>0.1</v>
      </c>
      <c r="G541" s="37">
        <f>(1+F541)*E541</f>
        <v>570.99900000000014</v>
      </c>
      <c r="H541" s="38" t="s">
        <v>4</v>
      </c>
      <c r="I541" s="19">
        <v>3.31732</v>
      </c>
      <c r="J541" s="19">
        <f t="shared" ref="J541:J544" si="397">G541*I541</f>
        <v>1894.1864026800006</v>
      </c>
      <c r="K541" s="31">
        <v>0.03</v>
      </c>
      <c r="L541" s="19">
        <f t="shared" ref="L541:L544" si="398">$O$379</f>
        <v>45</v>
      </c>
      <c r="M541" s="32">
        <f t="shared" ref="M541:M544" si="399">K541*G541</f>
        <v>17.129970000000004</v>
      </c>
      <c r="N541" s="11">
        <f t="shared" ref="N541:N544" si="400">M541*L541</f>
        <v>770.84865000000013</v>
      </c>
      <c r="O541" s="11">
        <f t="shared" ref="O541:O544" si="401">N541+J541</f>
        <v>2665.0350526800007</v>
      </c>
      <c r="P541" s="54"/>
      <c r="Q541" s="39"/>
      <c r="R541" s="39"/>
      <c r="U541" s="41"/>
    </row>
    <row r="542" spans="1:21" s="40" customFormat="1" ht="16.8" customHeight="1">
      <c r="A542" s="33">
        <f>IF(H542&lt;&gt;"",1+MAX($A$5:A541),"")</f>
        <v>340</v>
      </c>
      <c r="B542" s="79"/>
      <c r="C542" s="69"/>
      <c r="D542" s="27" t="s">
        <v>345</v>
      </c>
      <c r="E542" s="35">
        <v>68.16</v>
      </c>
      <c r="F542" s="36">
        <v>0.1</v>
      </c>
      <c r="G542" s="37">
        <f>(1+F542)*E542</f>
        <v>74.975999999999999</v>
      </c>
      <c r="H542" s="38" t="s">
        <v>4</v>
      </c>
      <c r="I542" s="19">
        <v>4.8755999999999995</v>
      </c>
      <c r="J542" s="19">
        <f t="shared" si="397"/>
        <v>365.55298559999994</v>
      </c>
      <c r="K542" s="31">
        <v>0.19</v>
      </c>
      <c r="L542" s="19">
        <f t="shared" si="398"/>
        <v>45</v>
      </c>
      <c r="M542" s="32">
        <f t="shared" si="399"/>
        <v>14.24544</v>
      </c>
      <c r="N542" s="11">
        <f t="shared" si="400"/>
        <v>641.04480000000001</v>
      </c>
      <c r="O542" s="11">
        <f t="shared" si="401"/>
        <v>1006.5977856</v>
      </c>
      <c r="P542" s="54"/>
      <c r="Q542" s="39"/>
      <c r="R542" s="39"/>
      <c r="U542" s="41"/>
    </row>
    <row r="543" spans="1:21" s="40" customFormat="1" ht="16.8" customHeight="1">
      <c r="A543" s="33">
        <f>IF(H543&lt;&gt;"",1+MAX($A$5:A542),"")</f>
        <v>341</v>
      </c>
      <c r="B543" s="79"/>
      <c r="C543" s="69"/>
      <c r="D543" s="27" t="s">
        <v>346</v>
      </c>
      <c r="E543" s="35">
        <v>162.04</v>
      </c>
      <c r="F543" s="36">
        <v>0.1</v>
      </c>
      <c r="G543" s="37">
        <f>(1+F543)*E543</f>
        <v>178.244</v>
      </c>
      <c r="H543" s="38" t="s">
        <v>4</v>
      </c>
      <c r="I543" s="19">
        <v>4.8755999999999995</v>
      </c>
      <c r="J543" s="19">
        <f t="shared" si="397"/>
        <v>869.04644639999992</v>
      </c>
      <c r="K543" s="31">
        <v>0.19</v>
      </c>
      <c r="L543" s="19">
        <f t="shared" si="398"/>
        <v>45</v>
      </c>
      <c r="M543" s="32">
        <f t="shared" si="399"/>
        <v>33.86636</v>
      </c>
      <c r="N543" s="11">
        <f t="shared" si="400"/>
        <v>1523.9862000000001</v>
      </c>
      <c r="O543" s="11">
        <f t="shared" si="401"/>
        <v>2393.0326464</v>
      </c>
      <c r="P543" s="54"/>
      <c r="Q543" s="39"/>
      <c r="R543" s="39"/>
      <c r="U543" s="41"/>
    </row>
    <row r="544" spans="1:21" s="40" customFormat="1" ht="16.8" customHeight="1">
      <c r="A544" s="33">
        <f>IF(H544&lt;&gt;"",1+MAX($A$5:A543),"")</f>
        <v>342</v>
      </c>
      <c r="B544" s="79"/>
      <c r="C544" s="69"/>
      <c r="D544" s="27" t="s">
        <v>44</v>
      </c>
      <c r="E544" s="35">
        <v>1279.9000000000001</v>
      </c>
      <c r="F544" s="36">
        <v>0.1</v>
      </c>
      <c r="G544" s="37">
        <f>(1+F544)*E544</f>
        <v>1407.8900000000003</v>
      </c>
      <c r="H544" s="38" t="s">
        <v>4</v>
      </c>
      <c r="I544" s="19">
        <v>1.9597999999999998</v>
      </c>
      <c r="J544" s="19">
        <f t="shared" si="397"/>
        <v>2759.1828220000002</v>
      </c>
      <c r="K544" s="31">
        <v>3.2000000000000001E-2</v>
      </c>
      <c r="L544" s="19">
        <f t="shared" si="398"/>
        <v>45</v>
      </c>
      <c r="M544" s="32">
        <f t="shared" si="399"/>
        <v>45.05248000000001</v>
      </c>
      <c r="N544" s="11">
        <f t="shared" si="400"/>
        <v>2027.3616000000004</v>
      </c>
      <c r="O544" s="11">
        <f t="shared" si="401"/>
        <v>4786.5444220000008</v>
      </c>
      <c r="P544" s="54"/>
      <c r="Q544" s="39"/>
      <c r="R544" s="39"/>
      <c r="U544" s="41"/>
    </row>
    <row r="545" spans="1:21" s="40" customFormat="1" ht="16.8" customHeight="1">
      <c r="A545" s="33" t="str">
        <f>IF(H545&lt;&gt;"",1+MAX($A$5:A544),"")</f>
        <v/>
      </c>
      <c r="B545" s="79"/>
      <c r="C545" s="69"/>
      <c r="D545" s="27" t="s">
        <v>96</v>
      </c>
      <c r="E545" s="35"/>
      <c r="F545" s="36"/>
      <c r="G545" s="37"/>
      <c r="H545" s="38"/>
      <c r="I545" s="19"/>
      <c r="J545" s="19"/>
      <c r="K545" s="31"/>
      <c r="L545" s="19"/>
      <c r="M545" s="32"/>
      <c r="N545" s="11"/>
      <c r="O545" s="11"/>
      <c r="P545" s="54"/>
      <c r="Q545" s="39"/>
      <c r="R545" s="39"/>
      <c r="U545" s="41"/>
    </row>
    <row r="546" spans="1:21" s="40" customFormat="1" ht="16.8" customHeight="1">
      <c r="A546" s="33" t="str">
        <f>IF(H546&lt;&gt;"",1+MAX($A$5:A545),"")</f>
        <v/>
      </c>
      <c r="B546" s="79"/>
      <c r="C546" s="69"/>
      <c r="D546" s="114" t="s">
        <v>347</v>
      </c>
      <c r="E546" s="35"/>
      <c r="F546" s="36"/>
      <c r="G546" s="37"/>
      <c r="H546" s="38"/>
      <c r="I546" s="19"/>
      <c r="J546" s="19"/>
      <c r="K546" s="31"/>
      <c r="L546" s="19"/>
      <c r="M546" s="32"/>
      <c r="N546" s="11"/>
      <c r="O546" s="11"/>
      <c r="P546" s="54"/>
      <c r="Q546" s="39"/>
      <c r="R546" s="39"/>
      <c r="U546" s="41"/>
    </row>
    <row r="547" spans="1:21" s="40" customFormat="1" ht="16.8" customHeight="1">
      <c r="A547" s="33">
        <f>IF(H547&lt;&gt;"",1+MAX($A$5:A546),"")</f>
        <v>343</v>
      </c>
      <c r="B547" s="79"/>
      <c r="C547" s="69"/>
      <c r="D547" s="27" t="s">
        <v>348</v>
      </c>
      <c r="E547" s="35">
        <v>2867</v>
      </c>
      <c r="F547" s="36">
        <v>0.1</v>
      </c>
      <c r="G547" s="37">
        <f t="shared" ref="G547:G554" si="402">(1+F547)*E547</f>
        <v>3153.7000000000003</v>
      </c>
      <c r="H547" s="38" t="s">
        <v>32</v>
      </c>
      <c r="I547" s="19">
        <v>2.9636</v>
      </c>
      <c r="J547" s="19">
        <f t="shared" ref="J547:J554" si="403">G547*I547</f>
        <v>9346.3053200000013</v>
      </c>
      <c r="K547" s="31">
        <v>0.04</v>
      </c>
      <c r="L547" s="19">
        <f t="shared" ref="L547:L554" si="404">$O$379</f>
        <v>45</v>
      </c>
      <c r="M547" s="32">
        <f t="shared" ref="M547:M554" si="405">K547*G547</f>
        <v>126.14800000000001</v>
      </c>
      <c r="N547" s="11">
        <f t="shared" ref="N547:N554" si="406">M547*L547</f>
        <v>5676.6600000000008</v>
      </c>
      <c r="O547" s="11">
        <f t="shared" ref="O547:O554" si="407">N547+J547</f>
        <v>15022.965320000003</v>
      </c>
      <c r="P547" s="54"/>
      <c r="Q547" s="39"/>
      <c r="R547" s="39"/>
      <c r="U547" s="41"/>
    </row>
    <row r="548" spans="1:21" s="40" customFormat="1" ht="16.8" customHeight="1">
      <c r="A548" s="33">
        <f>IF(H548&lt;&gt;"",1+MAX($A$5:A547),"")</f>
        <v>344</v>
      </c>
      <c r="B548" s="79"/>
      <c r="C548" s="69"/>
      <c r="D548" s="27" t="s">
        <v>349</v>
      </c>
      <c r="E548" s="35">
        <v>908</v>
      </c>
      <c r="F548" s="36">
        <v>0.1</v>
      </c>
      <c r="G548" s="37">
        <f t="shared" si="402"/>
        <v>998.80000000000007</v>
      </c>
      <c r="H548" s="38" t="s">
        <v>32</v>
      </c>
      <c r="I548" s="19">
        <v>0.80303999999999998</v>
      </c>
      <c r="J548" s="19">
        <f t="shared" si="403"/>
        <v>802.07635200000004</v>
      </c>
      <c r="K548" s="31">
        <v>2.1299999999999999E-2</v>
      </c>
      <c r="L548" s="19">
        <f t="shared" si="404"/>
        <v>45</v>
      </c>
      <c r="M548" s="32">
        <f t="shared" si="405"/>
        <v>21.274440000000002</v>
      </c>
      <c r="N548" s="11">
        <f t="shared" si="406"/>
        <v>957.34980000000007</v>
      </c>
      <c r="O548" s="11">
        <f t="shared" si="407"/>
        <v>1759.426152</v>
      </c>
      <c r="P548" s="54"/>
      <c r="Q548" s="39"/>
      <c r="R548" s="39"/>
      <c r="U548" s="41"/>
    </row>
    <row r="549" spans="1:21" s="40" customFormat="1" ht="16.8" customHeight="1">
      <c r="A549" s="33">
        <f>IF(H549&lt;&gt;"",1+MAX($A$5:A548),"")</f>
        <v>345</v>
      </c>
      <c r="B549" s="79"/>
      <c r="C549" s="69"/>
      <c r="D549" s="27" t="s">
        <v>350</v>
      </c>
      <c r="E549" s="35">
        <v>118</v>
      </c>
      <c r="F549" s="36">
        <v>0.1</v>
      </c>
      <c r="G549" s="37">
        <f t="shared" si="402"/>
        <v>129.80000000000001</v>
      </c>
      <c r="H549" s="38" t="s">
        <v>32</v>
      </c>
      <c r="I549" s="19">
        <v>0.80303999999999998</v>
      </c>
      <c r="J549" s="19">
        <f t="shared" si="403"/>
        <v>104.23459200000001</v>
      </c>
      <c r="K549" s="31">
        <v>2.1299999999999999E-2</v>
      </c>
      <c r="L549" s="19">
        <f t="shared" si="404"/>
        <v>45</v>
      </c>
      <c r="M549" s="32">
        <f t="shared" si="405"/>
        <v>2.7647400000000002</v>
      </c>
      <c r="N549" s="11">
        <f t="shared" si="406"/>
        <v>124.41330000000001</v>
      </c>
      <c r="O549" s="11">
        <f t="shared" si="407"/>
        <v>228.64789200000001</v>
      </c>
      <c r="P549" s="54"/>
      <c r="Q549" s="39"/>
      <c r="R549" s="39"/>
      <c r="U549" s="41"/>
    </row>
    <row r="550" spans="1:21" s="40" customFormat="1" ht="16.8" customHeight="1">
      <c r="A550" s="33">
        <f>IF(H550&lt;&gt;"",1+MAX($A$5:A549),"")</f>
        <v>346</v>
      </c>
      <c r="B550" s="79"/>
      <c r="C550" s="69"/>
      <c r="D550" s="27" t="s">
        <v>351</v>
      </c>
      <c r="E550" s="35">
        <v>480</v>
      </c>
      <c r="F550" s="36">
        <v>0.1</v>
      </c>
      <c r="G550" s="37">
        <f t="shared" si="402"/>
        <v>528</v>
      </c>
      <c r="H550" s="38" t="s">
        <v>32</v>
      </c>
      <c r="I550" s="19">
        <v>0.80303999999999998</v>
      </c>
      <c r="J550" s="19">
        <f t="shared" si="403"/>
        <v>424.00511999999998</v>
      </c>
      <c r="K550" s="31">
        <v>2.1299999999999999E-2</v>
      </c>
      <c r="L550" s="19">
        <f t="shared" si="404"/>
        <v>45</v>
      </c>
      <c r="M550" s="32">
        <f t="shared" si="405"/>
        <v>11.2464</v>
      </c>
      <c r="N550" s="11">
        <f t="shared" si="406"/>
        <v>506.08799999999997</v>
      </c>
      <c r="O550" s="11">
        <f t="shared" si="407"/>
        <v>930.09312</v>
      </c>
      <c r="P550" s="54"/>
      <c r="Q550" s="39"/>
      <c r="R550" s="39"/>
      <c r="U550" s="41"/>
    </row>
    <row r="551" spans="1:21" s="40" customFormat="1" ht="16.8" customHeight="1">
      <c r="A551" s="33">
        <f>IF(H551&lt;&gt;"",1+MAX($A$5:A550),"")</f>
        <v>347</v>
      </c>
      <c r="B551" s="79"/>
      <c r="C551" s="69"/>
      <c r="D551" s="27" t="s">
        <v>352</v>
      </c>
      <c r="E551" s="35">
        <v>139.91</v>
      </c>
      <c r="F551" s="36">
        <v>0.1</v>
      </c>
      <c r="G551" s="37">
        <f t="shared" si="402"/>
        <v>153.90100000000001</v>
      </c>
      <c r="H551" s="38" t="s">
        <v>4</v>
      </c>
      <c r="I551" s="19">
        <v>1.9597999999999998</v>
      </c>
      <c r="J551" s="19">
        <f t="shared" si="403"/>
        <v>301.61517979999996</v>
      </c>
      <c r="K551" s="31">
        <v>3.2000000000000001E-2</v>
      </c>
      <c r="L551" s="19">
        <f t="shared" si="404"/>
        <v>45</v>
      </c>
      <c r="M551" s="32">
        <f t="shared" si="405"/>
        <v>4.9248320000000003</v>
      </c>
      <c r="N551" s="11">
        <f t="shared" si="406"/>
        <v>221.61744000000002</v>
      </c>
      <c r="O551" s="11">
        <f t="shared" si="407"/>
        <v>523.23261979999995</v>
      </c>
      <c r="P551" s="54"/>
      <c r="Q551" s="39"/>
      <c r="R551" s="39"/>
      <c r="U551" s="41"/>
    </row>
    <row r="552" spans="1:21" s="40" customFormat="1" ht="16.8" customHeight="1">
      <c r="A552" s="33">
        <f>IF(H552&lt;&gt;"",1+MAX($A$5:A551),"")</f>
        <v>348</v>
      </c>
      <c r="B552" s="79"/>
      <c r="C552" s="69"/>
      <c r="D552" s="27" t="s">
        <v>353</v>
      </c>
      <c r="E552" s="35">
        <v>167.83</v>
      </c>
      <c r="F552" s="36">
        <v>0.1</v>
      </c>
      <c r="G552" s="37">
        <f t="shared" si="402"/>
        <v>184.61300000000003</v>
      </c>
      <c r="H552" s="38" t="s">
        <v>4</v>
      </c>
      <c r="I552" s="19">
        <v>1.9597999999999998</v>
      </c>
      <c r="J552" s="19">
        <f t="shared" si="403"/>
        <v>361.80455740000002</v>
      </c>
      <c r="K552" s="31">
        <v>3.2000000000000001E-2</v>
      </c>
      <c r="L552" s="19">
        <f t="shared" si="404"/>
        <v>45</v>
      </c>
      <c r="M552" s="32">
        <f t="shared" si="405"/>
        <v>5.9076160000000009</v>
      </c>
      <c r="N552" s="11">
        <f t="shared" si="406"/>
        <v>265.84272000000004</v>
      </c>
      <c r="O552" s="11">
        <f t="shared" si="407"/>
        <v>627.64727740000012</v>
      </c>
      <c r="P552" s="54"/>
      <c r="Q552" s="39"/>
      <c r="R552" s="39"/>
      <c r="U552" s="41"/>
    </row>
    <row r="553" spans="1:21" s="40" customFormat="1" ht="16.8" customHeight="1">
      <c r="A553" s="33">
        <f>IF(H553&lt;&gt;"",1+MAX($A$5:A552),"")</f>
        <v>349</v>
      </c>
      <c r="B553" s="79"/>
      <c r="C553" s="69"/>
      <c r="D553" s="27" t="s">
        <v>354</v>
      </c>
      <c r="E553" s="35">
        <v>26.08</v>
      </c>
      <c r="F553" s="36">
        <v>0.1</v>
      </c>
      <c r="G553" s="37">
        <f t="shared" si="402"/>
        <v>28.687999999999999</v>
      </c>
      <c r="H553" s="38" t="s">
        <v>4</v>
      </c>
      <c r="I553" s="19">
        <v>6.4529999999999994</v>
      </c>
      <c r="J553" s="19">
        <f t="shared" si="403"/>
        <v>185.12366399999996</v>
      </c>
      <c r="K553" s="31">
        <f>0.133/2</f>
        <v>6.6500000000000004E-2</v>
      </c>
      <c r="L553" s="19">
        <f t="shared" si="404"/>
        <v>45</v>
      </c>
      <c r="M553" s="32">
        <f t="shared" si="405"/>
        <v>1.9077520000000001</v>
      </c>
      <c r="N553" s="11">
        <f t="shared" si="406"/>
        <v>85.84884000000001</v>
      </c>
      <c r="O553" s="11">
        <f t="shared" si="407"/>
        <v>270.97250399999996</v>
      </c>
      <c r="P553" s="54"/>
      <c r="Q553" s="39"/>
      <c r="R553" s="39"/>
      <c r="U553" s="41"/>
    </row>
    <row r="554" spans="1:21" s="40" customFormat="1" ht="16.8" customHeight="1">
      <c r="A554" s="33">
        <f>IF(H554&lt;&gt;"",1+MAX($A$5:A553),"")</f>
        <v>350</v>
      </c>
      <c r="B554" s="79"/>
      <c r="C554" s="69"/>
      <c r="D554" s="27" t="s">
        <v>355</v>
      </c>
      <c r="E554" s="35">
        <v>89</v>
      </c>
      <c r="F554" s="36">
        <v>0</v>
      </c>
      <c r="G554" s="37">
        <f t="shared" si="402"/>
        <v>89</v>
      </c>
      <c r="H554" s="38" t="s">
        <v>3</v>
      </c>
      <c r="I554" s="19">
        <v>51.623999999999995</v>
      </c>
      <c r="J554" s="19">
        <f t="shared" si="403"/>
        <v>4594.5359999999991</v>
      </c>
      <c r="K554" s="31">
        <v>0.4</v>
      </c>
      <c r="L554" s="19">
        <f t="shared" si="404"/>
        <v>45</v>
      </c>
      <c r="M554" s="32">
        <f t="shared" si="405"/>
        <v>35.6</v>
      </c>
      <c r="N554" s="11">
        <f t="shared" si="406"/>
        <v>1602</v>
      </c>
      <c r="O554" s="11">
        <f t="shared" si="407"/>
        <v>6196.5359999999991</v>
      </c>
      <c r="P554" s="54"/>
      <c r="Q554" s="39"/>
      <c r="R554" s="39"/>
      <c r="U554" s="41"/>
    </row>
    <row r="555" spans="1:21" s="40" customFormat="1" ht="16.8" customHeight="1">
      <c r="A555" s="33" t="str">
        <f>IF(H555&lt;&gt;"",1+MAX($A$5:A554),"")</f>
        <v/>
      </c>
      <c r="B555" s="79"/>
      <c r="C555" s="69"/>
      <c r="D555" s="27" t="s">
        <v>96</v>
      </c>
      <c r="E555" s="35"/>
      <c r="F555" s="36"/>
      <c r="G555" s="37"/>
      <c r="H555" s="38"/>
      <c r="I555" s="19"/>
      <c r="J555" s="19"/>
      <c r="K555" s="31"/>
      <c r="L555" s="19"/>
      <c r="M555" s="32"/>
      <c r="N555" s="11"/>
      <c r="O555" s="11"/>
      <c r="P555" s="54"/>
      <c r="Q555" s="39"/>
      <c r="R555" s="39"/>
      <c r="U555" s="41"/>
    </row>
    <row r="556" spans="1:21" s="40" customFormat="1" ht="16.8" customHeight="1">
      <c r="A556" s="33" t="str">
        <f>IF(H556&lt;&gt;"",1+MAX($A$5:A555),"")</f>
        <v/>
      </c>
      <c r="B556" s="79"/>
      <c r="C556" s="69"/>
      <c r="D556" s="114" t="s">
        <v>356</v>
      </c>
      <c r="E556" s="35"/>
      <c r="F556" s="36"/>
      <c r="G556" s="37"/>
      <c r="H556" s="38"/>
      <c r="I556" s="19"/>
      <c r="J556" s="19"/>
      <c r="K556" s="31"/>
      <c r="L556" s="19"/>
      <c r="M556" s="32"/>
      <c r="N556" s="11"/>
      <c r="O556" s="11"/>
      <c r="P556" s="54"/>
      <c r="Q556" s="39"/>
      <c r="R556" s="39"/>
      <c r="U556" s="41"/>
    </row>
    <row r="557" spans="1:21" s="40" customFormat="1" ht="16.8" customHeight="1">
      <c r="A557" s="33">
        <f>IF(H557&lt;&gt;"",1+MAX($A$5:A556),"")</f>
        <v>351</v>
      </c>
      <c r="B557" s="79"/>
      <c r="C557" s="69"/>
      <c r="D557" s="27" t="s">
        <v>45</v>
      </c>
      <c r="E557" s="35">
        <v>579</v>
      </c>
      <c r="F557" s="36">
        <v>0.1</v>
      </c>
      <c r="G557" s="37">
        <f>(1+F557)*E557</f>
        <v>636.90000000000009</v>
      </c>
      <c r="H557" s="38" t="s">
        <v>32</v>
      </c>
      <c r="I557" s="19">
        <v>4.7321999999999997</v>
      </c>
      <c r="J557" s="19">
        <f t="shared" ref="J557" si="408">G557*I557</f>
        <v>3013.9381800000001</v>
      </c>
      <c r="K557" s="31">
        <v>5.8999999999999997E-2</v>
      </c>
      <c r="L557" s="19">
        <f>$O$379</f>
        <v>45</v>
      </c>
      <c r="M557" s="32">
        <f t="shared" ref="M557" si="409">K557*G557</f>
        <v>37.577100000000002</v>
      </c>
      <c r="N557" s="11">
        <f t="shared" ref="N557" si="410">M557*L557</f>
        <v>1690.9695000000002</v>
      </c>
      <c r="O557" s="11">
        <f t="shared" ref="O557" si="411">N557+J557</f>
        <v>4704.9076800000003</v>
      </c>
      <c r="P557" s="54"/>
      <c r="Q557" s="39"/>
      <c r="R557" s="39"/>
      <c r="U557" s="41"/>
    </row>
    <row r="558" spans="1:21" s="40" customFormat="1" ht="16.8" customHeight="1">
      <c r="A558" s="33" t="str">
        <f>IF(H558&lt;&gt;"",1+MAX($A$5:A557),"")</f>
        <v/>
      </c>
      <c r="B558" s="79"/>
      <c r="C558" s="69"/>
      <c r="D558" s="27" t="s">
        <v>96</v>
      </c>
      <c r="E558" s="35"/>
      <c r="F558" s="36"/>
      <c r="G558" s="37"/>
      <c r="H558" s="38"/>
      <c r="I558" s="19"/>
      <c r="J558" s="19"/>
      <c r="K558" s="31"/>
      <c r="L558" s="19"/>
      <c r="M558" s="32"/>
      <c r="N558" s="11"/>
      <c r="O558" s="11"/>
      <c r="P558" s="54"/>
      <c r="Q558" s="39"/>
      <c r="R558" s="39"/>
      <c r="U558" s="41"/>
    </row>
    <row r="559" spans="1:21" s="40" customFormat="1" ht="16.8" customHeight="1">
      <c r="A559" s="33" t="str">
        <f>IF(H559&lt;&gt;"",1+MAX($A$5:A558),"")</f>
        <v/>
      </c>
      <c r="B559" s="79"/>
      <c r="C559" s="69"/>
      <c r="D559" s="114" t="s">
        <v>357</v>
      </c>
      <c r="E559" s="35"/>
      <c r="F559" s="36"/>
      <c r="G559" s="37"/>
      <c r="H559" s="38"/>
      <c r="I559" s="19"/>
      <c r="J559" s="19"/>
      <c r="K559" s="31"/>
      <c r="L559" s="19"/>
      <c r="M559" s="32"/>
      <c r="N559" s="11"/>
      <c r="O559" s="11"/>
      <c r="P559" s="54"/>
      <c r="Q559" s="39"/>
      <c r="R559" s="39"/>
      <c r="U559" s="41"/>
    </row>
    <row r="560" spans="1:21" s="40" customFormat="1" ht="16.8" customHeight="1">
      <c r="A560" s="33">
        <f>IF(H560&lt;&gt;"",1+MAX($A$5:A559),"")</f>
        <v>352</v>
      </c>
      <c r="B560" s="79"/>
      <c r="C560" s="69"/>
      <c r="D560" s="27" t="s">
        <v>358</v>
      </c>
      <c r="E560" s="35">
        <v>10111</v>
      </c>
      <c r="F560" s="36">
        <v>0.1</v>
      </c>
      <c r="G560" s="37">
        <f>(1+F560)*E560</f>
        <v>11122.1</v>
      </c>
      <c r="H560" s="38" t="s">
        <v>32</v>
      </c>
      <c r="I560" s="19">
        <v>0.80303999999999998</v>
      </c>
      <c r="J560" s="19">
        <f t="shared" ref="J560" si="412">G560*I560</f>
        <v>8931.4911840000004</v>
      </c>
      <c r="K560" s="31">
        <v>2.1299999999999999E-2</v>
      </c>
      <c r="L560" s="19">
        <f>$O$379</f>
        <v>45</v>
      </c>
      <c r="M560" s="32">
        <f t="shared" ref="M560" si="413">K560*G560</f>
        <v>236.90073000000001</v>
      </c>
      <c r="N560" s="11">
        <f t="shared" ref="N560" si="414">M560*L560</f>
        <v>10660.53285</v>
      </c>
      <c r="O560" s="11">
        <f t="shared" ref="O560" si="415">N560+J560</f>
        <v>19592.024034000002</v>
      </c>
      <c r="P560" s="54"/>
      <c r="Q560" s="39"/>
      <c r="R560" s="39"/>
      <c r="U560" s="41"/>
    </row>
    <row r="561" spans="1:21" s="40" customFormat="1" ht="16.8" customHeight="1">
      <c r="A561" s="33" t="str">
        <f>IF(H561&lt;&gt;"",1+MAX($A$5:A560),"")</f>
        <v/>
      </c>
      <c r="B561" s="79"/>
      <c r="C561" s="69"/>
      <c r="D561" s="27" t="s">
        <v>96</v>
      </c>
      <c r="E561" s="35"/>
      <c r="F561" s="36"/>
      <c r="G561" s="37"/>
      <c r="H561" s="38"/>
      <c r="I561" s="19"/>
      <c r="J561" s="19"/>
      <c r="K561" s="31"/>
      <c r="L561" s="19"/>
      <c r="M561" s="32"/>
      <c r="N561" s="11"/>
      <c r="O561" s="11"/>
      <c r="P561" s="54"/>
      <c r="Q561" s="39"/>
      <c r="R561" s="39"/>
      <c r="U561" s="41"/>
    </row>
    <row r="562" spans="1:21" s="40" customFormat="1" ht="16.8" customHeight="1">
      <c r="A562" s="33" t="str">
        <f>IF(H562&lt;&gt;"",1+MAX($A$5:A561),"")</f>
        <v/>
      </c>
      <c r="B562" s="79"/>
      <c r="C562" s="69"/>
      <c r="D562" s="114" t="s">
        <v>359</v>
      </c>
      <c r="E562" s="35"/>
      <c r="F562" s="36"/>
      <c r="G562" s="37"/>
      <c r="H562" s="38"/>
      <c r="I562" s="19"/>
      <c r="J562" s="19"/>
      <c r="K562" s="31"/>
      <c r="L562" s="19"/>
      <c r="M562" s="32"/>
      <c r="N562" s="11"/>
      <c r="O562" s="11"/>
      <c r="P562" s="54"/>
      <c r="Q562" s="39"/>
      <c r="R562" s="39"/>
      <c r="U562" s="41"/>
    </row>
    <row r="563" spans="1:21" s="40" customFormat="1" ht="16.8" customHeight="1">
      <c r="A563" s="33">
        <f>IF(H563&lt;&gt;"",1+MAX($A$5:A562),"")</f>
        <v>353</v>
      </c>
      <c r="B563" s="79"/>
      <c r="C563" s="69"/>
      <c r="D563" s="27" t="s">
        <v>46</v>
      </c>
      <c r="E563" s="35">
        <v>1279.9000000000001</v>
      </c>
      <c r="F563" s="36">
        <v>0.1</v>
      </c>
      <c r="G563" s="37">
        <f t="shared" ref="G563:G583" si="416">(1+F563)*E563</f>
        <v>1407.8900000000003</v>
      </c>
      <c r="H563" s="38" t="s">
        <v>4</v>
      </c>
      <c r="I563" s="19">
        <v>1.0707200000000001</v>
      </c>
      <c r="J563" s="19">
        <f t="shared" ref="J563:J583" si="417">G563*I563</f>
        <v>1507.4559808000006</v>
      </c>
      <c r="K563" s="31">
        <v>3.1300000000000001E-2</v>
      </c>
      <c r="L563" s="19">
        <f t="shared" ref="L563:L583" si="418">$O$379</f>
        <v>45</v>
      </c>
      <c r="M563" s="32">
        <f t="shared" ref="M563:M583" si="419">K563*G563</f>
        <v>44.066957000000009</v>
      </c>
      <c r="N563" s="11">
        <f t="shared" ref="N563:N583" si="420">M563*L563</f>
        <v>1983.0130650000003</v>
      </c>
      <c r="O563" s="11">
        <f t="shared" ref="O563:O583" si="421">N563+J563</f>
        <v>3490.4690458000009</v>
      </c>
      <c r="P563" s="54"/>
      <c r="Q563" s="39"/>
      <c r="R563" s="39"/>
      <c r="U563" s="41"/>
    </row>
    <row r="564" spans="1:21" s="40" customFormat="1" ht="16.8" customHeight="1">
      <c r="A564" s="33">
        <f>IF(H564&lt;&gt;"",1+MAX($A$5:A563),"")</f>
        <v>354</v>
      </c>
      <c r="B564" s="79"/>
      <c r="C564" s="69"/>
      <c r="D564" s="27" t="s">
        <v>360</v>
      </c>
      <c r="E564" s="35">
        <v>1</v>
      </c>
      <c r="F564" s="36">
        <v>0.1</v>
      </c>
      <c r="G564" s="37">
        <f t="shared" si="416"/>
        <v>1.1000000000000001</v>
      </c>
      <c r="H564" s="38" t="s">
        <v>3</v>
      </c>
      <c r="I564" s="19">
        <v>30.515519999999999</v>
      </c>
      <c r="J564" s="19">
        <f t="shared" si="417"/>
        <v>33.567072000000003</v>
      </c>
      <c r="K564" s="31">
        <v>0.55130000000000001</v>
      </c>
      <c r="L564" s="19">
        <f t="shared" si="418"/>
        <v>45</v>
      </c>
      <c r="M564" s="32">
        <f t="shared" si="419"/>
        <v>0.60643000000000002</v>
      </c>
      <c r="N564" s="11">
        <f t="shared" si="420"/>
        <v>27.289350000000002</v>
      </c>
      <c r="O564" s="11">
        <f t="shared" si="421"/>
        <v>60.856422000000009</v>
      </c>
      <c r="P564" s="54"/>
      <c r="Q564" s="39"/>
      <c r="R564" s="39"/>
      <c r="U564" s="41"/>
    </row>
    <row r="565" spans="1:21" s="40" customFormat="1" ht="16.8" customHeight="1">
      <c r="A565" s="33">
        <f>IF(H565&lt;&gt;"",1+MAX($A$5:A564),"")</f>
        <v>355</v>
      </c>
      <c r="B565" s="79"/>
      <c r="C565" s="69"/>
      <c r="D565" s="27" t="s">
        <v>361</v>
      </c>
      <c r="E565" s="35">
        <v>3</v>
      </c>
      <c r="F565" s="36">
        <v>0.1</v>
      </c>
      <c r="G565" s="37">
        <f t="shared" si="416"/>
        <v>3.3000000000000003</v>
      </c>
      <c r="H565" s="38" t="s">
        <v>3</v>
      </c>
      <c r="I565" s="19">
        <v>61.031039999999997</v>
      </c>
      <c r="J565" s="19">
        <f t="shared" si="417"/>
        <v>201.402432</v>
      </c>
      <c r="K565" s="31">
        <v>1.1026</v>
      </c>
      <c r="L565" s="19">
        <f t="shared" si="418"/>
        <v>45</v>
      </c>
      <c r="M565" s="32">
        <f t="shared" si="419"/>
        <v>3.6385800000000006</v>
      </c>
      <c r="N565" s="11">
        <f t="shared" si="420"/>
        <v>163.73610000000002</v>
      </c>
      <c r="O565" s="11">
        <f t="shared" si="421"/>
        <v>365.13853200000005</v>
      </c>
      <c r="P565" s="54"/>
      <c r="Q565" s="39"/>
      <c r="R565" s="39"/>
      <c r="U565" s="41"/>
    </row>
    <row r="566" spans="1:21" s="40" customFormat="1" ht="16.8" customHeight="1">
      <c r="A566" s="33">
        <f>IF(H566&lt;&gt;"",1+MAX($A$5:A565),"")</f>
        <v>356</v>
      </c>
      <c r="B566" s="79"/>
      <c r="C566" s="69"/>
      <c r="D566" s="27" t="s">
        <v>362</v>
      </c>
      <c r="E566" s="35">
        <v>2</v>
      </c>
      <c r="F566" s="36">
        <v>0.1</v>
      </c>
      <c r="G566" s="37">
        <f t="shared" si="416"/>
        <v>2.2000000000000002</v>
      </c>
      <c r="H566" s="38" t="s">
        <v>3</v>
      </c>
      <c r="I566" s="19">
        <v>30.515519999999999</v>
      </c>
      <c r="J566" s="19">
        <f t="shared" si="417"/>
        <v>67.134144000000006</v>
      </c>
      <c r="K566" s="31">
        <v>0.55130000000000001</v>
      </c>
      <c r="L566" s="19">
        <f t="shared" si="418"/>
        <v>45</v>
      </c>
      <c r="M566" s="32">
        <f t="shared" si="419"/>
        <v>1.21286</v>
      </c>
      <c r="N566" s="11">
        <f t="shared" si="420"/>
        <v>54.578700000000005</v>
      </c>
      <c r="O566" s="11">
        <f t="shared" si="421"/>
        <v>121.71284400000002</v>
      </c>
      <c r="P566" s="54"/>
      <c r="Q566" s="39"/>
      <c r="R566" s="39"/>
      <c r="U566" s="41"/>
    </row>
    <row r="567" spans="1:21" s="40" customFormat="1" ht="16.8" customHeight="1">
      <c r="A567" s="33">
        <f>IF(H567&lt;&gt;"",1+MAX($A$5:A566),"")</f>
        <v>357</v>
      </c>
      <c r="B567" s="79"/>
      <c r="C567" s="69"/>
      <c r="D567" s="27" t="s">
        <v>363</v>
      </c>
      <c r="E567" s="35">
        <v>2</v>
      </c>
      <c r="F567" s="36">
        <v>0.1</v>
      </c>
      <c r="G567" s="37">
        <f t="shared" si="416"/>
        <v>2.2000000000000002</v>
      </c>
      <c r="H567" s="38" t="s">
        <v>3</v>
      </c>
      <c r="I567" s="19">
        <v>30.515519999999999</v>
      </c>
      <c r="J567" s="19">
        <f t="shared" si="417"/>
        <v>67.134144000000006</v>
      </c>
      <c r="K567" s="31">
        <v>0.55130000000000001</v>
      </c>
      <c r="L567" s="19">
        <f t="shared" si="418"/>
        <v>45</v>
      </c>
      <c r="M567" s="32">
        <f t="shared" si="419"/>
        <v>1.21286</v>
      </c>
      <c r="N567" s="11">
        <f t="shared" si="420"/>
        <v>54.578700000000005</v>
      </c>
      <c r="O567" s="11">
        <f t="shared" si="421"/>
        <v>121.71284400000002</v>
      </c>
      <c r="P567" s="54"/>
      <c r="Q567" s="39"/>
      <c r="R567" s="39"/>
      <c r="U567" s="41"/>
    </row>
    <row r="568" spans="1:21" s="40" customFormat="1" ht="16.8" customHeight="1">
      <c r="A568" s="33">
        <f>IF(H568&lt;&gt;"",1+MAX($A$5:A567),"")</f>
        <v>358</v>
      </c>
      <c r="B568" s="79"/>
      <c r="C568" s="69"/>
      <c r="D568" s="27" t="s">
        <v>364</v>
      </c>
      <c r="E568" s="35">
        <v>1</v>
      </c>
      <c r="F568" s="36">
        <v>0.1</v>
      </c>
      <c r="G568" s="37">
        <f t="shared" si="416"/>
        <v>1.1000000000000001</v>
      </c>
      <c r="H568" s="38" t="s">
        <v>3</v>
      </c>
      <c r="I568" s="19">
        <v>30.515519999999999</v>
      </c>
      <c r="J568" s="19">
        <f t="shared" si="417"/>
        <v>33.567072000000003</v>
      </c>
      <c r="K568" s="31">
        <v>0.55130000000000001</v>
      </c>
      <c r="L568" s="19">
        <f t="shared" si="418"/>
        <v>45</v>
      </c>
      <c r="M568" s="32">
        <f t="shared" si="419"/>
        <v>0.60643000000000002</v>
      </c>
      <c r="N568" s="11">
        <f t="shared" si="420"/>
        <v>27.289350000000002</v>
      </c>
      <c r="O568" s="11">
        <f t="shared" si="421"/>
        <v>60.856422000000009</v>
      </c>
      <c r="P568" s="54"/>
      <c r="Q568" s="39"/>
      <c r="R568" s="39"/>
      <c r="U568" s="41"/>
    </row>
    <row r="569" spans="1:21" s="40" customFormat="1" ht="16.8" customHeight="1">
      <c r="A569" s="33">
        <f>IF(H569&lt;&gt;"",1+MAX($A$5:A568),"")</f>
        <v>359</v>
      </c>
      <c r="B569" s="79"/>
      <c r="C569" s="69"/>
      <c r="D569" s="27" t="s">
        <v>365</v>
      </c>
      <c r="E569" s="35">
        <v>2</v>
      </c>
      <c r="F569" s="36">
        <v>0.1</v>
      </c>
      <c r="G569" s="37">
        <f t="shared" si="416"/>
        <v>2.2000000000000002</v>
      </c>
      <c r="H569" s="38" t="s">
        <v>3</v>
      </c>
      <c r="I569" s="19">
        <v>61.031039999999997</v>
      </c>
      <c r="J569" s="19">
        <f t="shared" si="417"/>
        <v>134.26828800000001</v>
      </c>
      <c r="K569" s="31">
        <v>1.1026</v>
      </c>
      <c r="L569" s="19">
        <f t="shared" si="418"/>
        <v>45</v>
      </c>
      <c r="M569" s="32">
        <f t="shared" si="419"/>
        <v>2.4257200000000001</v>
      </c>
      <c r="N569" s="11">
        <f t="shared" si="420"/>
        <v>109.15740000000001</v>
      </c>
      <c r="O569" s="11">
        <f t="shared" si="421"/>
        <v>243.42568800000004</v>
      </c>
      <c r="P569" s="54"/>
      <c r="Q569" s="39"/>
      <c r="R569" s="39"/>
      <c r="U569" s="41"/>
    </row>
    <row r="570" spans="1:21" s="40" customFormat="1" ht="16.8" customHeight="1">
      <c r="A570" s="33">
        <f>IF(H570&lt;&gt;"",1+MAX($A$5:A569),"")</f>
        <v>360</v>
      </c>
      <c r="B570" s="79"/>
      <c r="C570" s="69"/>
      <c r="D570" s="27" t="s">
        <v>366</v>
      </c>
      <c r="E570" s="35">
        <v>3</v>
      </c>
      <c r="F570" s="36">
        <v>0.1</v>
      </c>
      <c r="G570" s="37">
        <f t="shared" si="416"/>
        <v>3.3000000000000003</v>
      </c>
      <c r="H570" s="38" t="s">
        <v>3</v>
      </c>
      <c r="I570" s="19">
        <v>30.515519999999999</v>
      </c>
      <c r="J570" s="19">
        <f t="shared" si="417"/>
        <v>100.701216</v>
      </c>
      <c r="K570" s="31">
        <v>0.55130000000000001</v>
      </c>
      <c r="L570" s="19">
        <f t="shared" si="418"/>
        <v>45</v>
      </c>
      <c r="M570" s="32">
        <f t="shared" si="419"/>
        <v>1.8192900000000003</v>
      </c>
      <c r="N570" s="11">
        <f t="shared" si="420"/>
        <v>81.868050000000011</v>
      </c>
      <c r="O570" s="11">
        <f t="shared" si="421"/>
        <v>182.56926600000003</v>
      </c>
      <c r="P570" s="54"/>
      <c r="Q570" s="39"/>
      <c r="R570" s="39"/>
      <c r="U570" s="41"/>
    </row>
    <row r="571" spans="1:21" s="40" customFormat="1" ht="16.8" customHeight="1">
      <c r="A571" s="33">
        <f>IF(H571&lt;&gt;"",1+MAX($A$5:A570),"")</f>
        <v>361</v>
      </c>
      <c r="B571" s="79"/>
      <c r="C571" s="69"/>
      <c r="D571" s="27" t="s">
        <v>367</v>
      </c>
      <c r="E571" s="35">
        <v>1</v>
      </c>
      <c r="F571" s="36">
        <v>0.1</v>
      </c>
      <c r="G571" s="37">
        <f t="shared" si="416"/>
        <v>1.1000000000000001</v>
      </c>
      <c r="H571" s="38" t="s">
        <v>3</v>
      </c>
      <c r="I571" s="19">
        <v>30.515519999999999</v>
      </c>
      <c r="J571" s="19">
        <f t="shared" si="417"/>
        <v>33.567072000000003</v>
      </c>
      <c r="K571" s="31">
        <v>0.55130000000000001</v>
      </c>
      <c r="L571" s="19">
        <f t="shared" si="418"/>
        <v>45</v>
      </c>
      <c r="M571" s="32">
        <f t="shared" si="419"/>
        <v>0.60643000000000002</v>
      </c>
      <c r="N571" s="11">
        <f t="shared" si="420"/>
        <v>27.289350000000002</v>
      </c>
      <c r="O571" s="11">
        <f t="shared" si="421"/>
        <v>60.856422000000009</v>
      </c>
      <c r="P571" s="54"/>
      <c r="Q571" s="39"/>
      <c r="R571" s="39"/>
      <c r="U571" s="41"/>
    </row>
    <row r="572" spans="1:21" s="40" customFormat="1" ht="16.8" customHeight="1">
      <c r="A572" s="33">
        <f>IF(H572&lt;&gt;"",1+MAX($A$5:A571),"")</f>
        <v>362</v>
      </c>
      <c r="B572" s="79"/>
      <c r="C572" s="69"/>
      <c r="D572" s="27" t="s">
        <v>368</v>
      </c>
      <c r="E572" s="35">
        <v>1</v>
      </c>
      <c r="F572" s="36">
        <v>0.1</v>
      </c>
      <c r="G572" s="37">
        <f t="shared" si="416"/>
        <v>1.1000000000000001</v>
      </c>
      <c r="H572" s="38" t="s">
        <v>3</v>
      </c>
      <c r="I572" s="19">
        <v>30.515519999999999</v>
      </c>
      <c r="J572" s="19">
        <f t="shared" si="417"/>
        <v>33.567072000000003</v>
      </c>
      <c r="K572" s="31">
        <v>0.55130000000000001</v>
      </c>
      <c r="L572" s="19">
        <f t="shared" si="418"/>
        <v>45</v>
      </c>
      <c r="M572" s="32">
        <f t="shared" si="419"/>
        <v>0.60643000000000002</v>
      </c>
      <c r="N572" s="11">
        <f t="shared" si="420"/>
        <v>27.289350000000002</v>
      </c>
      <c r="O572" s="11">
        <f t="shared" si="421"/>
        <v>60.856422000000009</v>
      </c>
      <c r="P572" s="54"/>
      <c r="Q572" s="39"/>
      <c r="R572" s="39"/>
      <c r="U572" s="41"/>
    </row>
    <row r="573" spans="1:21" s="40" customFormat="1" ht="16.8" customHeight="1">
      <c r="A573" s="33">
        <f>IF(H573&lt;&gt;"",1+MAX($A$5:A572),"")</f>
        <v>363</v>
      </c>
      <c r="B573" s="79"/>
      <c r="C573" s="69"/>
      <c r="D573" s="27" t="s">
        <v>369</v>
      </c>
      <c r="E573" s="35">
        <v>1</v>
      </c>
      <c r="F573" s="36">
        <v>0.1</v>
      </c>
      <c r="G573" s="37">
        <f t="shared" si="416"/>
        <v>1.1000000000000001</v>
      </c>
      <c r="H573" s="38" t="s">
        <v>3</v>
      </c>
      <c r="I573" s="19">
        <v>30.515519999999999</v>
      </c>
      <c r="J573" s="19">
        <f t="shared" si="417"/>
        <v>33.567072000000003</v>
      </c>
      <c r="K573" s="31">
        <v>0.55130000000000001</v>
      </c>
      <c r="L573" s="19">
        <f t="shared" si="418"/>
        <v>45</v>
      </c>
      <c r="M573" s="32">
        <f t="shared" si="419"/>
        <v>0.60643000000000002</v>
      </c>
      <c r="N573" s="11">
        <f t="shared" si="420"/>
        <v>27.289350000000002</v>
      </c>
      <c r="O573" s="11">
        <f t="shared" si="421"/>
        <v>60.856422000000009</v>
      </c>
      <c r="P573" s="54"/>
      <c r="Q573" s="39"/>
      <c r="R573" s="39"/>
      <c r="U573" s="41"/>
    </row>
    <row r="574" spans="1:21" s="40" customFormat="1" ht="16.8" customHeight="1">
      <c r="A574" s="33">
        <f>IF(H574&lt;&gt;"",1+MAX($A$5:A573),"")</f>
        <v>364</v>
      </c>
      <c r="B574" s="79"/>
      <c r="C574" s="69"/>
      <c r="D574" s="27" t="s">
        <v>370</v>
      </c>
      <c r="E574" s="35">
        <v>1</v>
      </c>
      <c r="F574" s="36">
        <v>0.1</v>
      </c>
      <c r="G574" s="37">
        <f t="shared" si="416"/>
        <v>1.1000000000000001</v>
      </c>
      <c r="H574" s="38" t="s">
        <v>3</v>
      </c>
      <c r="I574" s="19">
        <v>30.515519999999999</v>
      </c>
      <c r="J574" s="19">
        <f t="shared" si="417"/>
        <v>33.567072000000003</v>
      </c>
      <c r="K574" s="31">
        <v>0.55130000000000001</v>
      </c>
      <c r="L574" s="19">
        <f t="shared" si="418"/>
        <v>45</v>
      </c>
      <c r="M574" s="32">
        <f t="shared" si="419"/>
        <v>0.60643000000000002</v>
      </c>
      <c r="N574" s="11">
        <f t="shared" si="420"/>
        <v>27.289350000000002</v>
      </c>
      <c r="O574" s="11">
        <f t="shared" si="421"/>
        <v>60.856422000000009</v>
      </c>
      <c r="P574" s="54"/>
      <c r="Q574" s="39"/>
      <c r="R574" s="39"/>
      <c r="U574" s="41"/>
    </row>
    <row r="575" spans="1:21" s="40" customFormat="1" ht="16.8" customHeight="1">
      <c r="A575" s="33">
        <f>IF(H575&lt;&gt;"",1+MAX($A$5:A574),"")</f>
        <v>365</v>
      </c>
      <c r="B575" s="79"/>
      <c r="C575" s="69"/>
      <c r="D575" s="27" t="s">
        <v>371</v>
      </c>
      <c r="E575" s="35">
        <v>9</v>
      </c>
      <c r="F575" s="36">
        <v>0.1</v>
      </c>
      <c r="G575" s="37">
        <f t="shared" si="416"/>
        <v>9.9</v>
      </c>
      <c r="H575" s="38" t="s">
        <v>3</v>
      </c>
      <c r="I575" s="19">
        <v>30.515519999999999</v>
      </c>
      <c r="J575" s="19">
        <f t="shared" si="417"/>
        <v>302.10364800000002</v>
      </c>
      <c r="K575" s="31">
        <v>0.55130000000000001</v>
      </c>
      <c r="L575" s="19">
        <f t="shared" si="418"/>
        <v>45</v>
      </c>
      <c r="M575" s="32">
        <f t="shared" si="419"/>
        <v>5.4578700000000007</v>
      </c>
      <c r="N575" s="11">
        <f t="shared" si="420"/>
        <v>245.60415000000003</v>
      </c>
      <c r="O575" s="11">
        <f t="shared" si="421"/>
        <v>547.70779800000003</v>
      </c>
      <c r="P575" s="54"/>
      <c r="Q575" s="39"/>
      <c r="R575" s="39"/>
      <c r="U575" s="41"/>
    </row>
    <row r="576" spans="1:21" s="40" customFormat="1" ht="16.8" customHeight="1">
      <c r="A576" s="33">
        <f>IF(H576&lt;&gt;"",1+MAX($A$5:A575),"")</f>
        <v>366</v>
      </c>
      <c r="B576" s="79"/>
      <c r="C576" s="69"/>
      <c r="D576" s="27" t="s">
        <v>372</v>
      </c>
      <c r="E576" s="35">
        <v>2</v>
      </c>
      <c r="F576" s="36">
        <v>0.1</v>
      </c>
      <c r="G576" s="37">
        <f t="shared" si="416"/>
        <v>2.2000000000000002</v>
      </c>
      <c r="H576" s="38" t="s">
        <v>3</v>
      </c>
      <c r="I576" s="19">
        <v>30.515519999999999</v>
      </c>
      <c r="J576" s="19">
        <f t="shared" si="417"/>
        <v>67.134144000000006</v>
      </c>
      <c r="K576" s="31">
        <v>0.55130000000000001</v>
      </c>
      <c r="L576" s="19">
        <f t="shared" si="418"/>
        <v>45</v>
      </c>
      <c r="M576" s="32">
        <f t="shared" si="419"/>
        <v>1.21286</v>
      </c>
      <c r="N576" s="11">
        <f t="shared" si="420"/>
        <v>54.578700000000005</v>
      </c>
      <c r="O576" s="11">
        <f t="shared" si="421"/>
        <v>121.71284400000002</v>
      </c>
      <c r="P576" s="54"/>
      <c r="Q576" s="39"/>
      <c r="R576" s="39"/>
      <c r="U576" s="41"/>
    </row>
    <row r="577" spans="1:21" s="40" customFormat="1" ht="16.8" customHeight="1">
      <c r="A577" s="33">
        <f>IF(H577&lt;&gt;"",1+MAX($A$5:A576),"")</f>
        <v>367</v>
      </c>
      <c r="B577" s="79"/>
      <c r="C577" s="69"/>
      <c r="D577" s="27" t="s">
        <v>373</v>
      </c>
      <c r="E577" s="35">
        <v>4</v>
      </c>
      <c r="F577" s="36">
        <v>0.1</v>
      </c>
      <c r="G577" s="37">
        <f t="shared" si="416"/>
        <v>4.4000000000000004</v>
      </c>
      <c r="H577" s="38" t="s">
        <v>3</v>
      </c>
      <c r="I577" s="19">
        <v>30.515519999999999</v>
      </c>
      <c r="J577" s="19">
        <f t="shared" si="417"/>
        <v>134.26828800000001</v>
      </c>
      <c r="K577" s="31">
        <v>0.55130000000000001</v>
      </c>
      <c r="L577" s="19">
        <f t="shared" si="418"/>
        <v>45</v>
      </c>
      <c r="M577" s="32">
        <f t="shared" si="419"/>
        <v>2.4257200000000001</v>
      </c>
      <c r="N577" s="11">
        <f t="shared" si="420"/>
        <v>109.15740000000001</v>
      </c>
      <c r="O577" s="11">
        <f t="shared" si="421"/>
        <v>243.42568800000004</v>
      </c>
      <c r="P577" s="54"/>
      <c r="Q577" s="39"/>
      <c r="R577" s="39"/>
      <c r="U577" s="41"/>
    </row>
    <row r="578" spans="1:21" s="40" customFormat="1" ht="16.8" customHeight="1">
      <c r="A578" s="33">
        <f>IF(H578&lt;&gt;"",1+MAX($A$5:A577),"")</f>
        <v>368</v>
      </c>
      <c r="B578" s="79"/>
      <c r="C578" s="69"/>
      <c r="D578" s="27" t="s">
        <v>374</v>
      </c>
      <c r="E578" s="35">
        <v>2</v>
      </c>
      <c r="F578" s="36">
        <v>0.1</v>
      </c>
      <c r="G578" s="37">
        <f t="shared" si="416"/>
        <v>2.2000000000000002</v>
      </c>
      <c r="H578" s="38" t="s">
        <v>3</v>
      </c>
      <c r="I578" s="19">
        <v>30.515519999999999</v>
      </c>
      <c r="J578" s="19">
        <f t="shared" si="417"/>
        <v>67.134144000000006</v>
      </c>
      <c r="K578" s="31">
        <v>0.55130000000000001</v>
      </c>
      <c r="L578" s="19">
        <f t="shared" si="418"/>
        <v>45</v>
      </c>
      <c r="M578" s="32">
        <f t="shared" si="419"/>
        <v>1.21286</v>
      </c>
      <c r="N578" s="11">
        <f t="shared" si="420"/>
        <v>54.578700000000005</v>
      </c>
      <c r="O578" s="11">
        <f t="shared" si="421"/>
        <v>121.71284400000002</v>
      </c>
      <c r="P578" s="54"/>
      <c r="Q578" s="39"/>
      <c r="R578" s="39"/>
      <c r="U578" s="41"/>
    </row>
    <row r="579" spans="1:21" s="40" customFormat="1" ht="16.8" customHeight="1">
      <c r="A579" s="33">
        <f>IF(H579&lt;&gt;"",1+MAX($A$5:A578),"")</f>
        <v>369</v>
      </c>
      <c r="B579" s="79"/>
      <c r="C579" s="69"/>
      <c r="D579" s="27" t="s">
        <v>375</v>
      </c>
      <c r="E579" s="35">
        <v>1</v>
      </c>
      <c r="F579" s="36">
        <v>0.1</v>
      </c>
      <c r="G579" s="37">
        <f t="shared" si="416"/>
        <v>1.1000000000000001</v>
      </c>
      <c r="H579" s="38" t="s">
        <v>3</v>
      </c>
      <c r="I579" s="19">
        <v>30.515519999999999</v>
      </c>
      <c r="J579" s="19">
        <f t="shared" si="417"/>
        <v>33.567072000000003</v>
      </c>
      <c r="K579" s="31">
        <v>0.55130000000000001</v>
      </c>
      <c r="L579" s="19">
        <f t="shared" si="418"/>
        <v>45</v>
      </c>
      <c r="M579" s="32">
        <f t="shared" si="419"/>
        <v>0.60643000000000002</v>
      </c>
      <c r="N579" s="11">
        <f t="shared" si="420"/>
        <v>27.289350000000002</v>
      </c>
      <c r="O579" s="11">
        <f t="shared" si="421"/>
        <v>60.856422000000009</v>
      </c>
      <c r="P579" s="54"/>
      <c r="Q579" s="39"/>
      <c r="R579" s="39"/>
      <c r="U579" s="41"/>
    </row>
    <row r="580" spans="1:21" s="40" customFormat="1" ht="16.8" customHeight="1">
      <c r="A580" s="33">
        <f>IF(H580&lt;&gt;"",1+MAX($A$5:A579),"")</f>
        <v>370</v>
      </c>
      <c r="B580" s="79"/>
      <c r="C580" s="69"/>
      <c r="D580" s="27" t="s">
        <v>376</v>
      </c>
      <c r="E580" s="35">
        <v>10</v>
      </c>
      <c r="F580" s="36">
        <v>0.1</v>
      </c>
      <c r="G580" s="37">
        <f t="shared" si="416"/>
        <v>11</v>
      </c>
      <c r="H580" s="38" t="s">
        <v>3</v>
      </c>
      <c r="I580" s="19">
        <v>10.994</v>
      </c>
      <c r="J580" s="19">
        <f t="shared" si="417"/>
        <v>120.934</v>
      </c>
      <c r="K580" s="31">
        <v>0.35</v>
      </c>
      <c r="L580" s="19">
        <f t="shared" si="418"/>
        <v>45</v>
      </c>
      <c r="M580" s="32">
        <f t="shared" si="419"/>
        <v>3.8499999999999996</v>
      </c>
      <c r="N580" s="11">
        <f t="shared" si="420"/>
        <v>173.24999999999997</v>
      </c>
      <c r="O580" s="11">
        <f t="shared" si="421"/>
        <v>294.18399999999997</v>
      </c>
      <c r="P580" s="54"/>
      <c r="Q580" s="39"/>
      <c r="R580" s="39"/>
      <c r="U580" s="41"/>
    </row>
    <row r="581" spans="1:21" s="40" customFormat="1" ht="16.8" customHeight="1">
      <c r="A581" s="33">
        <f>IF(H581&lt;&gt;"",1+MAX($A$5:A580),"")</f>
        <v>371</v>
      </c>
      <c r="B581" s="79"/>
      <c r="C581" s="69"/>
      <c r="D581" s="27" t="s">
        <v>377</v>
      </c>
      <c r="E581" s="35">
        <v>5</v>
      </c>
      <c r="F581" s="36">
        <v>0.1</v>
      </c>
      <c r="G581" s="37">
        <f t="shared" si="416"/>
        <v>5.5</v>
      </c>
      <c r="H581" s="38" t="s">
        <v>3</v>
      </c>
      <c r="I581" s="19">
        <v>10.994</v>
      </c>
      <c r="J581" s="19">
        <f t="shared" si="417"/>
        <v>60.466999999999999</v>
      </c>
      <c r="K581" s="31">
        <v>0.35</v>
      </c>
      <c r="L581" s="19">
        <f t="shared" si="418"/>
        <v>45</v>
      </c>
      <c r="M581" s="32">
        <f t="shared" si="419"/>
        <v>1.9249999999999998</v>
      </c>
      <c r="N581" s="11">
        <f t="shared" si="420"/>
        <v>86.624999999999986</v>
      </c>
      <c r="O581" s="11">
        <f t="shared" si="421"/>
        <v>147.09199999999998</v>
      </c>
      <c r="P581" s="54"/>
      <c r="Q581" s="39"/>
      <c r="R581" s="39"/>
      <c r="U581" s="41"/>
    </row>
    <row r="582" spans="1:21" s="40" customFormat="1" ht="16.8" customHeight="1">
      <c r="A582" s="33">
        <f>IF(H582&lt;&gt;"",1+MAX($A$5:A581),"")</f>
        <v>372</v>
      </c>
      <c r="B582" s="79"/>
      <c r="C582" s="69"/>
      <c r="D582" s="27" t="s">
        <v>378</v>
      </c>
      <c r="E582" s="35">
        <v>14</v>
      </c>
      <c r="F582" s="36">
        <v>0.1</v>
      </c>
      <c r="G582" s="37">
        <f t="shared" si="416"/>
        <v>15.400000000000002</v>
      </c>
      <c r="H582" s="38" t="s">
        <v>3</v>
      </c>
      <c r="I582" s="19">
        <v>10.994</v>
      </c>
      <c r="J582" s="19">
        <f t="shared" si="417"/>
        <v>169.30760000000001</v>
      </c>
      <c r="K582" s="31">
        <v>0.35</v>
      </c>
      <c r="L582" s="19">
        <f t="shared" si="418"/>
        <v>45</v>
      </c>
      <c r="M582" s="32">
        <f t="shared" si="419"/>
        <v>5.3900000000000006</v>
      </c>
      <c r="N582" s="11">
        <f t="shared" si="420"/>
        <v>242.55</v>
      </c>
      <c r="O582" s="11">
        <f t="shared" si="421"/>
        <v>411.85760000000005</v>
      </c>
      <c r="P582" s="54"/>
      <c r="Q582" s="39"/>
      <c r="R582" s="39"/>
      <c r="U582" s="41"/>
    </row>
    <row r="583" spans="1:21" s="40" customFormat="1" ht="16.8" customHeight="1">
      <c r="A583" s="33">
        <f>IF(H583&lt;&gt;"",1+MAX($A$5:A582),"")</f>
        <v>373</v>
      </c>
      <c r="B583" s="79"/>
      <c r="C583" s="69"/>
      <c r="D583" s="27" t="s">
        <v>379</v>
      </c>
      <c r="E583" s="35">
        <v>2</v>
      </c>
      <c r="F583" s="36">
        <v>0.1</v>
      </c>
      <c r="G583" s="37">
        <f t="shared" si="416"/>
        <v>2.2000000000000002</v>
      </c>
      <c r="H583" s="38" t="s">
        <v>3</v>
      </c>
      <c r="I583" s="19">
        <v>17.207999999999998</v>
      </c>
      <c r="J583" s="19">
        <f t="shared" si="417"/>
        <v>37.857599999999998</v>
      </c>
      <c r="K583" s="31">
        <v>0.35</v>
      </c>
      <c r="L583" s="19">
        <f t="shared" si="418"/>
        <v>45</v>
      </c>
      <c r="M583" s="32">
        <f t="shared" si="419"/>
        <v>0.77</v>
      </c>
      <c r="N583" s="11">
        <f t="shared" si="420"/>
        <v>34.65</v>
      </c>
      <c r="O583" s="11">
        <f t="shared" si="421"/>
        <v>72.507599999999996</v>
      </c>
      <c r="P583" s="54"/>
      <c r="Q583" s="39"/>
      <c r="R583" s="39"/>
      <c r="U583" s="41"/>
    </row>
    <row r="584" spans="1:21" s="40" customFormat="1" ht="16.8" customHeight="1">
      <c r="A584" s="33" t="str">
        <f>IF(H584&lt;&gt;"",1+MAX($A$5:A583),"")</f>
        <v/>
      </c>
      <c r="B584" s="79"/>
      <c r="C584" s="69"/>
      <c r="D584" s="27"/>
      <c r="E584" s="35"/>
      <c r="F584" s="36"/>
      <c r="G584" s="37"/>
      <c r="H584" s="38"/>
      <c r="I584" s="19"/>
      <c r="J584" s="19"/>
      <c r="K584" s="31"/>
      <c r="L584" s="19"/>
      <c r="M584" s="32"/>
      <c r="N584" s="11"/>
      <c r="O584" s="11"/>
      <c r="P584" s="54"/>
      <c r="Q584" s="39"/>
      <c r="R584" s="39"/>
      <c r="U584" s="41"/>
    </row>
    <row r="585" spans="1:21" s="107" customFormat="1" ht="18">
      <c r="A585" s="98" t="str">
        <f>IF(H585&lt;&gt;"",1+MAX($A$5:A585),"")</f>
        <v/>
      </c>
      <c r="B585" s="99"/>
      <c r="C585" s="99"/>
      <c r="D585" s="100" t="s">
        <v>47</v>
      </c>
      <c r="E585" s="101"/>
      <c r="F585" s="102"/>
      <c r="G585" s="103"/>
      <c r="H585" s="102"/>
      <c r="I585" s="102"/>
      <c r="J585" s="102"/>
      <c r="K585" s="102"/>
      <c r="L585" s="102"/>
      <c r="M585" s="102"/>
      <c r="N585" s="104"/>
      <c r="O585" s="102"/>
      <c r="P585" s="105">
        <f>SUM(O587:O596)</f>
        <v>3461.3399250000002</v>
      </c>
      <c r="Q585" s="39"/>
      <c r="R585" s="106"/>
      <c r="U585" s="108"/>
    </row>
    <row r="586" spans="1:21" s="3" customFormat="1">
      <c r="A586" s="33" t="str">
        <f>IF(H586&lt;&gt;"",1+MAX($A$5:A585),"")</f>
        <v/>
      </c>
      <c r="B586" s="62"/>
      <c r="C586" s="68"/>
      <c r="D586" s="63"/>
      <c r="E586" s="15"/>
      <c r="F586" s="16"/>
      <c r="G586" s="21"/>
      <c r="H586" s="17"/>
      <c r="I586" s="17"/>
      <c r="J586" s="17"/>
      <c r="K586" s="17"/>
      <c r="L586" s="17"/>
      <c r="M586" s="17"/>
      <c r="N586" s="82" t="s">
        <v>20</v>
      </c>
      <c r="O586" s="29">
        <v>45</v>
      </c>
      <c r="P586" s="54"/>
      <c r="Q586" s="39"/>
      <c r="R586" s="2"/>
      <c r="U586" s="14"/>
    </row>
    <row r="587" spans="1:21" s="40" customFormat="1" ht="16.8" customHeight="1">
      <c r="A587" s="33" t="str">
        <f>IF(H587&lt;&gt;"",1+MAX($A$5:A586),"")</f>
        <v/>
      </c>
      <c r="B587" s="79"/>
      <c r="C587" s="69"/>
      <c r="D587" s="114" t="s">
        <v>380</v>
      </c>
      <c r="E587" s="35"/>
      <c r="F587" s="36"/>
      <c r="G587" s="37"/>
      <c r="H587" s="38"/>
      <c r="I587" s="19"/>
      <c r="J587" s="19"/>
      <c r="K587" s="31"/>
      <c r="L587" s="19"/>
      <c r="M587" s="32"/>
      <c r="N587" s="11"/>
      <c r="O587" s="11"/>
      <c r="P587" s="54"/>
      <c r="Q587" s="39"/>
      <c r="R587" s="39"/>
      <c r="U587" s="41"/>
    </row>
    <row r="588" spans="1:21" s="40" customFormat="1" ht="16.8" customHeight="1">
      <c r="A588" s="33">
        <f>IF(H588&lt;&gt;"",1+MAX($A$5:A587),"")</f>
        <v>374</v>
      </c>
      <c r="B588" s="79"/>
      <c r="C588" s="69"/>
      <c r="D588" s="27" t="s">
        <v>48</v>
      </c>
      <c r="E588" s="35">
        <v>5</v>
      </c>
      <c r="F588" s="36">
        <v>0</v>
      </c>
      <c r="G588" s="37">
        <f t="shared" ref="G588:G595" si="422">(1+F588)*E588</f>
        <v>5</v>
      </c>
      <c r="H588" s="38" t="s">
        <v>3</v>
      </c>
      <c r="I588" s="19">
        <v>99.423999999999992</v>
      </c>
      <c r="J588" s="19">
        <f t="shared" ref="J588:J595" si="423">G588*I588</f>
        <v>497.11999999999995</v>
      </c>
      <c r="K588" s="31">
        <v>0.53300000000000003</v>
      </c>
      <c r="L588" s="19">
        <f>$O$586</f>
        <v>45</v>
      </c>
      <c r="M588" s="32">
        <f t="shared" ref="M588" si="424">K588*G588</f>
        <v>2.665</v>
      </c>
      <c r="N588" s="11">
        <f t="shared" ref="N588" si="425">M588*L588</f>
        <v>119.925</v>
      </c>
      <c r="O588" s="11">
        <f t="shared" ref="O588" si="426">N588+J588</f>
        <v>617.04499999999996</v>
      </c>
      <c r="P588" s="54"/>
      <c r="Q588" s="39"/>
      <c r="R588" s="39"/>
      <c r="U588" s="41"/>
    </row>
    <row r="589" spans="1:21" s="40" customFormat="1" ht="16.8" customHeight="1">
      <c r="A589" s="33">
        <f>IF(H589&lt;&gt;"",1+MAX($A$5:A588),"")</f>
        <v>375</v>
      </c>
      <c r="B589" s="79"/>
      <c r="C589" s="69"/>
      <c r="D589" s="27" t="s">
        <v>49</v>
      </c>
      <c r="E589" s="35">
        <v>5</v>
      </c>
      <c r="F589" s="36">
        <v>0</v>
      </c>
      <c r="G589" s="37">
        <f t="shared" si="422"/>
        <v>5</v>
      </c>
      <c r="H589" s="38" t="s">
        <v>3</v>
      </c>
      <c r="I589" s="19">
        <v>55.925999999999995</v>
      </c>
      <c r="J589" s="19">
        <f t="shared" si="423"/>
        <v>279.63</v>
      </c>
      <c r="K589" s="31">
        <v>0.4</v>
      </c>
      <c r="L589" s="19">
        <f t="shared" ref="L589:L595" si="427">$O$586</f>
        <v>45</v>
      </c>
      <c r="M589" s="32">
        <f t="shared" ref="M589:M595" si="428">K589*G589</f>
        <v>2</v>
      </c>
      <c r="N589" s="11">
        <f t="shared" ref="N589:N595" si="429">M589*L589</f>
        <v>90</v>
      </c>
      <c r="O589" s="11">
        <f t="shared" ref="O589:O595" si="430">N589+J589</f>
        <v>369.63</v>
      </c>
      <c r="P589" s="54"/>
      <c r="Q589" s="39"/>
      <c r="R589" s="39"/>
      <c r="U589" s="41"/>
    </row>
    <row r="590" spans="1:21" s="40" customFormat="1" ht="16.8" customHeight="1">
      <c r="A590" s="33">
        <f>IF(H590&lt;&gt;"",1+MAX($A$5:A589),"")</f>
        <v>376</v>
      </c>
      <c r="B590" s="79"/>
      <c r="C590" s="69"/>
      <c r="D590" s="27" t="s">
        <v>50</v>
      </c>
      <c r="E590" s="35">
        <v>5</v>
      </c>
      <c r="F590" s="36">
        <v>0</v>
      </c>
      <c r="G590" s="37">
        <f t="shared" si="422"/>
        <v>5</v>
      </c>
      <c r="H590" s="38" t="s">
        <v>3</v>
      </c>
      <c r="I590" s="19">
        <v>55.448</v>
      </c>
      <c r="J590" s="19">
        <f t="shared" si="423"/>
        <v>277.24</v>
      </c>
      <c r="K590" s="31">
        <v>0.4</v>
      </c>
      <c r="L590" s="19">
        <f t="shared" si="427"/>
        <v>45</v>
      </c>
      <c r="M590" s="32">
        <f t="shared" si="428"/>
        <v>2</v>
      </c>
      <c r="N590" s="11">
        <f t="shared" si="429"/>
        <v>90</v>
      </c>
      <c r="O590" s="11">
        <f t="shared" si="430"/>
        <v>367.24</v>
      </c>
      <c r="P590" s="54"/>
      <c r="Q590" s="39"/>
      <c r="R590" s="39"/>
      <c r="U590" s="41"/>
    </row>
    <row r="591" spans="1:21" s="40" customFormat="1" ht="16.8" customHeight="1">
      <c r="A591" s="33">
        <f>IF(H591&lt;&gt;"",1+MAX($A$5:A590),"")</f>
        <v>377</v>
      </c>
      <c r="B591" s="79"/>
      <c r="C591" s="69"/>
      <c r="D591" s="27" t="s">
        <v>51</v>
      </c>
      <c r="E591" s="35">
        <v>5</v>
      </c>
      <c r="F591" s="36">
        <v>0</v>
      </c>
      <c r="G591" s="37">
        <f t="shared" si="422"/>
        <v>5</v>
      </c>
      <c r="H591" s="38" t="s">
        <v>3</v>
      </c>
      <c r="I591" s="19">
        <v>28.68</v>
      </c>
      <c r="J591" s="19">
        <f t="shared" si="423"/>
        <v>143.4</v>
      </c>
      <c r="K591" s="31">
        <v>0.33300000000000002</v>
      </c>
      <c r="L591" s="19">
        <f t="shared" si="427"/>
        <v>45</v>
      </c>
      <c r="M591" s="32">
        <f t="shared" si="428"/>
        <v>1.665</v>
      </c>
      <c r="N591" s="11">
        <f t="shared" si="429"/>
        <v>74.924999999999997</v>
      </c>
      <c r="O591" s="11">
        <f t="shared" si="430"/>
        <v>218.32499999999999</v>
      </c>
      <c r="P591" s="54"/>
      <c r="Q591" s="39"/>
      <c r="R591" s="39"/>
      <c r="U591" s="41"/>
    </row>
    <row r="592" spans="1:21" s="40" customFormat="1" ht="16.8" customHeight="1">
      <c r="A592" s="33">
        <f>IF(H592&lt;&gt;"",1+MAX($A$5:A591),"")</f>
        <v>378</v>
      </c>
      <c r="B592" s="79"/>
      <c r="C592" s="69"/>
      <c r="D592" s="27" t="s">
        <v>52</v>
      </c>
      <c r="E592" s="35">
        <v>5</v>
      </c>
      <c r="F592" s="36">
        <v>0</v>
      </c>
      <c r="G592" s="37">
        <f t="shared" si="422"/>
        <v>5</v>
      </c>
      <c r="H592" s="38" t="s">
        <v>3</v>
      </c>
      <c r="I592" s="19">
        <v>27.724</v>
      </c>
      <c r="J592" s="19">
        <f t="shared" si="423"/>
        <v>138.62</v>
      </c>
      <c r="K592" s="31">
        <v>0.34799999999999998</v>
      </c>
      <c r="L592" s="19">
        <f t="shared" si="427"/>
        <v>45</v>
      </c>
      <c r="M592" s="32">
        <f t="shared" si="428"/>
        <v>1.7399999999999998</v>
      </c>
      <c r="N592" s="11">
        <f t="shared" si="429"/>
        <v>78.299999999999983</v>
      </c>
      <c r="O592" s="11">
        <f t="shared" si="430"/>
        <v>216.92</v>
      </c>
      <c r="P592" s="54"/>
      <c r="Q592" s="39"/>
      <c r="R592" s="39"/>
      <c r="U592" s="41"/>
    </row>
    <row r="593" spans="1:21" s="40" customFormat="1" ht="16.8" customHeight="1">
      <c r="A593" s="33">
        <f>IF(H593&lt;&gt;"",1+MAX($A$5:A592),"")</f>
        <v>379</v>
      </c>
      <c r="B593" s="79"/>
      <c r="C593" s="69"/>
      <c r="D593" s="27" t="s">
        <v>53</v>
      </c>
      <c r="E593" s="35">
        <v>4</v>
      </c>
      <c r="F593" s="36">
        <v>0</v>
      </c>
      <c r="G593" s="37">
        <f t="shared" si="422"/>
        <v>4</v>
      </c>
      <c r="H593" s="38" t="s">
        <v>3</v>
      </c>
      <c r="I593" s="19">
        <v>32.981999999999999</v>
      </c>
      <c r="J593" s="19">
        <f t="shared" si="423"/>
        <v>131.928</v>
      </c>
      <c r="K593" s="31">
        <v>0.4</v>
      </c>
      <c r="L593" s="19">
        <f t="shared" si="427"/>
        <v>45</v>
      </c>
      <c r="M593" s="32">
        <f t="shared" si="428"/>
        <v>1.6</v>
      </c>
      <c r="N593" s="11">
        <f t="shared" si="429"/>
        <v>72</v>
      </c>
      <c r="O593" s="11">
        <f t="shared" si="430"/>
        <v>203.928</v>
      </c>
      <c r="P593" s="54"/>
      <c r="Q593" s="39"/>
      <c r="R593" s="39"/>
      <c r="U593" s="41"/>
    </row>
    <row r="594" spans="1:21" s="40" customFormat="1" ht="16.8" customHeight="1">
      <c r="A594" s="33">
        <f>IF(H594&lt;&gt;"",1+MAX($A$5:A593),"")</f>
        <v>380</v>
      </c>
      <c r="B594" s="79"/>
      <c r="C594" s="69"/>
      <c r="D594" s="27" t="s">
        <v>54</v>
      </c>
      <c r="E594" s="35">
        <v>4</v>
      </c>
      <c r="F594" s="36">
        <v>0</v>
      </c>
      <c r="G594" s="37">
        <f t="shared" si="422"/>
        <v>4</v>
      </c>
      <c r="H594" s="38" t="s">
        <v>3</v>
      </c>
      <c r="I594" s="19">
        <v>55.448</v>
      </c>
      <c r="J594" s="19">
        <f t="shared" si="423"/>
        <v>221.792</v>
      </c>
      <c r="K594" s="31">
        <v>0.4</v>
      </c>
      <c r="L594" s="19">
        <f t="shared" si="427"/>
        <v>45</v>
      </c>
      <c r="M594" s="32">
        <f t="shared" si="428"/>
        <v>1.6</v>
      </c>
      <c r="N594" s="11">
        <f t="shared" si="429"/>
        <v>72</v>
      </c>
      <c r="O594" s="11">
        <f t="shared" si="430"/>
        <v>293.79200000000003</v>
      </c>
      <c r="P594" s="54"/>
      <c r="Q594" s="39"/>
      <c r="R594" s="39"/>
      <c r="U594" s="41"/>
    </row>
    <row r="595" spans="1:21" s="40" customFormat="1" ht="16.8" customHeight="1">
      <c r="A595" s="33">
        <f>IF(H595&lt;&gt;"",1+MAX($A$5:A594),"")</f>
        <v>381</v>
      </c>
      <c r="B595" s="79"/>
      <c r="C595" s="69"/>
      <c r="D595" s="27" t="s">
        <v>381</v>
      </c>
      <c r="E595" s="35">
        <v>1</v>
      </c>
      <c r="F595" s="36">
        <v>0</v>
      </c>
      <c r="G595" s="37">
        <f t="shared" si="422"/>
        <v>1</v>
      </c>
      <c r="H595" s="38" t="s">
        <v>3</v>
      </c>
      <c r="I595" s="19">
        <v>1019.6696000000001</v>
      </c>
      <c r="J595" s="19">
        <f t="shared" si="423"/>
        <v>1019.6696000000001</v>
      </c>
      <c r="K595" s="31">
        <f>0.645*5.333</f>
        <v>3.4397850000000001</v>
      </c>
      <c r="L595" s="19">
        <f t="shared" si="427"/>
        <v>45</v>
      </c>
      <c r="M595" s="32">
        <f t="shared" si="428"/>
        <v>3.4397850000000001</v>
      </c>
      <c r="N595" s="11">
        <f t="shared" si="429"/>
        <v>154.790325</v>
      </c>
      <c r="O595" s="11">
        <f t="shared" si="430"/>
        <v>1174.4599250000001</v>
      </c>
      <c r="P595" s="54"/>
      <c r="Q595" s="39"/>
      <c r="R595" s="39"/>
      <c r="U595" s="41"/>
    </row>
    <row r="596" spans="1:21" s="40" customFormat="1" ht="16.8" customHeight="1">
      <c r="A596" s="33" t="str">
        <f>IF(H596&lt;&gt;"",1+MAX($A$5:A595),"")</f>
        <v/>
      </c>
      <c r="B596" s="79"/>
      <c r="C596" s="69"/>
      <c r="D596" s="27"/>
      <c r="E596" s="35"/>
      <c r="F596" s="36"/>
      <c r="G596" s="37"/>
      <c r="H596" s="38"/>
      <c r="I596" s="19"/>
      <c r="J596" s="19"/>
      <c r="K596" s="31"/>
      <c r="L596" s="19"/>
      <c r="M596" s="32"/>
      <c r="N596" s="11"/>
      <c r="O596" s="11"/>
      <c r="P596" s="54"/>
      <c r="Q596" s="39"/>
      <c r="R596" s="39"/>
      <c r="U596" s="41"/>
    </row>
    <row r="597" spans="1:21" s="107" customFormat="1" ht="18">
      <c r="A597" s="98" t="str">
        <f>IF(H597&lt;&gt;"",1+MAX($A$5:A597),"")</f>
        <v/>
      </c>
      <c r="B597" s="99"/>
      <c r="C597" s="99"/>
      <c r="D597" s="100" t="s">
        <v>382</v>
      </c>
      <c r="E597" s="101"/>
      <c r="F597" s="102"/>
      <c r="G597" s="103"/>
      <c r="H597" s="102"/>
      <c r="I597" s="102"/>
      <c r="J597" s="102"/>
      <c r="K597" s="102"/>
      <c r="L597" s="102"/>
      <c r="M597" s="102"/>
      <c r="N597" s="104"/>
      <c r="O597" s="102"/>
      <c r="P597" s="105">
        <f>SUM(O599:O611)</f>
        <v>22716.936119999998</v>
      </c>
      <c r="Q597" s="39"/>
      <c r="R597" s="106"/>
      <c r="U597" s="108"/>
    </row>
    <row r="598" spans="1:21" s="3" customFormat="1">
      <c r="A598" s="33" t="str">
        <f>IF(H598&lt;&gt;"",1+MAX($A$5:A597),"")</f>
        <v/>
      </c>
      <c r="B598" s="62"/>
      <c r="C598" s="68"/>
      <c r="D598" s="63"/>
      <c r="E598" s="15"/>
      <c r="F598" s="16"/>
      <c r="G598" s="21"/>
      <c r="H598" s="17"/>
      <c r="I598" s="17"/>
      <c r="J598" s="17"/>
      <c r="K598" s="17"/>
      <c r="L598" s="17"/>
      <c r="M598" s="17"/>
      <c r="N598" s="82" t="s">
        <v>20</v>
      </c>
      <c r="O598" s="29">
        <v>45</v>
      </c>
      <c r="P598" s="54"/>
      <c r="Q598" s="39"/>
      <c r="R598" s="2"/>
      <c r="U598" s="14"/>
    </row>
    <row r="599" spans="1:21" s="40" customFormat="1" ht="16.8" customHeight="1">
      <c r="A599" s="33" t="str">
        <f>IF(H599&lt;&gt;"",1+MAX($A$5:A598),"")</f>
        <v/>
      </c>
      <c r="B599" s="79"/>
      <c r="C599" s="69"/>
      <c r="D599" s="114" t="s">
        <v>383</v>
      </c>
      <c r="E599" s="35"/>
      <c r="F599" s="36"/>
      <c r="G599" s="37"/>
      <c r="H599" s="38"/>
      <c r="I599" s="19"/>
      <c r="J599" s="19"/>
      <c r="K599" s="31"/>
      <c r="L599" s="19"/>
      <c r="M599" s="32"/>
      <c r="N599" s="11"/>
      <c r="O599" s="11"/>
      <c r="P599" s="54"/>
      <c r="Q599" s="39"/>
      <c r="R599" s="39"/>
      <c r="U599" s="41"/>
    </row>
    <row r="600" spans="1:21" s="40" customFormat="1" ht="16.8" customHeight="1">
      <c r="A600" s="33">
        <f>IF(H600&lt;&gt;"",1+MAX($A$5:A599),"")</f>
        <v>382</v>
      </c>
      <c r="B600" s="79"/>
      <c r="C600" s="69"/>
      <c r="D600" s="27" t="s">
        <v>384</v>
      </c>
      <c r="E600" s="35">
        <v>1</v>
      </c>
      <c r="F600" s="36">
        <v>0</v>
      </c>
      <c r="G600" s="37">
        <f t="shared" ref="G600:G610" si="431">(1+F600)*E600</f>
        <v>1</v>
      </c>
      <c r="H600" s="38" t="s">
        <v>3</v>
      </c>
      <c r="I600" s="19">
        <v>1720.8</v>
      </c>
      <c r="J600" s="19">
        <f t="shared" ref="J600:J610" si="432">G600*I600</f>
        <v>1720.8</v>
      </c>
      <c r="K600" s="31">
        <v>4</v>
      </c>
      <c r="L600" s="19">
        <f>$O$598</f>
        <v>45</v>
      </c>
      <c r="M600" s="32">
        <f t="shared" ref="M600" si="433">K600*G600</f>
        <v>4</v>
      </c>
      <c r="N600" s="11">
        <f t="shared" ref="N600" si="434">M600*L600</f>
        <v>180</v>
      </c>
      <c r="O600" s="11">
        <f t="shared" ref="O600" si="435">N600+J600</f>
        <v>1900.8</v>
      </c>
      <c r="P600" s="54"/>
      <c r="Q600" s="39"/>
      <c r="R600" s="39"/>
      <c r="U600" s="41"/>
    </row>
    <row r="601" spans="1:21" s="40" customFormat="1" ht="16.8" customHeight="1">
      <c r="A601" s="33">
        <f>IF(H601&lt;&gt;"",1+MAX($A$5:A600),"")</f>
        <v>383</v>
      </c>
      <c r="B601" s="79"/>
      <c r="C601" s="69"/>
      <c r="D601" s="27" t="s">
        <v>385</v>
      </c>
      <c r="E601" s="35">
        <v>2</v>
      </c>
      <c r="F601" s="36">
        <v>0</v>
      </c>
      <c r="G601" s="37">
        <f t="shared" si="431"/>
        <v>2</v>
      </c>
      <c r="H601" s="38" t="s">
        <v>3</v>
      </c>
      <c r="I601" s="19">
        <v>1577.3999999999999</v>
      </c>
      <c r="J601" s="19">
        <f t="shared" si="432"/>
        <v>3154.7999999999997</v>
      </c>
      <c r="K601" s="31">
        <v>4</v>
      </c>
      <c r="L601" s="19">
        <f t="shared" ref="L601:L610" si="436">$O$598</f>
        <v>45</v>
      </c>
      <c r="M601" s="32">
        <f t="shared" ref="M601:M610" si="437">K601*G601</f>
        <v>8</v>
      </c>
      <c r="N601" s="11">
        <f t="shared" ref="N601:N610" si="438">M601*L601</f>
        <v>360</v>
      </c>
      <c r="O601" s="11">
        <f t="shared" ref="O601:O610" si="439">N601+J601</f>
        <v>3514.7999999999997</v>
      </c>
      <c r="P601" s="54"/>
      <c r="Q601" s="39"/>
      <c r="R601" s="39"/>
      <c r="U601" s="41"/>
    </row>
    <row r="602" spans="1:21" s="40" customFormat="1" ht="16.8" customHeight="1">
      <c r="A602" s="33">
        <f>IF(H602&lt;&gt;"",1+MAX($A$5:A601),"")</f>
        <v>384</v>
      </c>
      <c r="B602" s="79"/>
      <c r="C602" s="69"/>
      <c r="D602" s="27" t="s">
        <v>386</v>
      </c>
      <c r="E602" s="35">
        <v>1</v>
      </c>
      <c r="F602" s="36">
        <v>0</v>
      </c>
      <c r="G602" s="37">
        <f t="shared" si="431"/>
        <v>1</v>
      </c>
      <c r="H602" s="38" t="s">
        <v>3</v>
      </c>
      <c r="I602" s="19">
        <v>1577.3999999999999</v>
      </c>
      <c r="J602" s="19">
        <f t="shared" si="432"/>
        <v>1577.3999999999999</v>
      </c>
      <c r="K602" s="31">
        <v>4</v>
      </c>
      <c r="L602" s="19">
        <f t="shared" si="436"/>
        <v>45</v>
      </c>
      <c r="M602" s="32">
        <f t="shared" si="437"/>
        <v>4</v>
      </c>
      <c r="N602" s="11">
        <f t="shared" si="438"/>
        <v>180</v>
      </c>
      <c r="O602" s="11">
        <f t="shared" si="439"/>
        <v>1757.3999999999999</v>
      </c>
      <c r="P602" s="54"/>
      <c r="Q602" s="39"/>
      <c r="R602" s="39"/>
      <c r="U602" s="41"/>
    </row>
    <row r="603" spans="1:21" s="40" customFormat="1" ht="16.8" customHeight="1">
      <c r="A603" s="33">
        <f>IF(H603&lt;&gt;"",1+MAX($A$5:A602),"")</f>
        <v>385</v>
      </c>
      <c r="B603" s="79"/>
      <c r="C603" s="69"/>
      <c r="D603" s="27" t="s">
        <v>387</v>
      </c>
      <c r="E603" s="35">
        <v>1</v>
      </c>
      <c r="F603" s="36">
        <v>0</v>
      </c>
      <c r="G603" s="37">
        <f t="shared" si="431"/>
        <v>1</v>
      </c>
      <c r="H603" s="38" t="s">
        <v>3</v>
      </c>
      <c r="I603" s="19">
        <v>1720.8</v>
      </c>
      <c r="J603" s="19">
        <f t="shared" si="432"/>
        <v>1720.8</v>
      </c>
      <c r="K603" s="31">
        <v>4</v>
      </c>
      <c r="L603" s="19">
        <f t="shared" si="436"/>
        <v>45</v>
      </c>
      <c r="M603" s="32">
        <f t="shared" si="437"/>
        <v>4</v>
      </c>
      <c r="N603" s="11">
        <f t="shared" si="438"/>
        <v>180</v>
      </c>
      <c r="O603" s="11">
        <f t="shared" si="439"/>
        <v>1900.8</v>
      </c>
      <c r="P603" s="54"/>
      <c r="Q603" s="39"/>
      <c r="R603" s="39"/>
      <c r="U603" s="41"/>
    </row>
    <row r="604" spans="1:21" s="40" customFormat="1" ht="16.8" customHeight="1">
      <c r="A604" s="33">
        <f>IF(H604&lt;&gt;"",1+MAX($A$5:A603),"")</f>
        <v>386</v>
      </c>
      <c r="B604" s="79"/>
      <c r="C604" s="69"/>
      <c r="D604" s="27" t="s">
        <v>388</v>
      </c>
      <c r="E604" s="35">
        <v>1</v>
      </c>
      <c r="F604" s="36">
        <v>0</v>
      </c>
      <c r="G604" s="37">
        <f t="shared" si="431"/>
        <v>1</v>
      </c>
      <c r="H604" s="38" t="s">
        <v>3</v>
      </c>
      <c r="I604" s="19">
        <v>1195</v>
      </c>
      <c r="J604" s="19">
        <f t="shared" si="432"/>
        <v>1195</v>
      </c>
      <c r="K604" s="31">
        <v>4</v>
      </c>
      <c r="L604" s="19">
        <f t="shared" si="436"/>
        <v>45</v>
      </c>
      <c r="M604" s="32">
        <f t="shared" si="437"/>
        <v>4</v>
      </c>
      <c r="N604" s="11">
        <f t="shared" si="438"/>
        <v>180</v>
      </c>
      <c r="O604" s="11">
        <f t="shared" si="439"/>
        <v>1375</v>
      </c>
      <c r="P604" s="54"/>
      <c r="Q604" s="39"/>
      <c r="R604" s="39"/>
      <c r="U604" s="41"/>
    </row>
    <row r="605" spans="1:21" s="40" customFormat="1" ht="16.8" customHeight="1">
      <c r="A605" s="33">
        <f>IF(H605&lt;&gt;"",1+MAX($A$5:A604),"")</f>
        <v>387</v>
      </c>
      <c r="B605" s="79"/>
      <c r="C605" s="69"/>
      <c r="D605" s="27" t="s">
        <v>389</v>
      </c>
      <c r="E605" s="35">
        <v>1</v>
      </c>
      <c r="F605" s="36">
        <v>0</v>
      </c>
      <c r="G605" s="37">
        <f t="shared" si="431"/>
        <v>1</v>
      </c>
      <c r="H605" s="38" t="s">
        <v>3</v>
      </c>
      <c r="I605" s="19">
        <v>1888.1</v>
      </c>
      <c r="J605" s="19">
        <f t="shared" si="432"/>
        <v>1888.1</v>
      </c>
      <c r="K605" s="31">
        <v>4</v>
      </c>
      <c r="L605" s="19">
        <f t="shared" si="436"/>
        <v>45</v>
      </c>
      <c r="M605" s="32">
        <f t="shared" si="437"/>
        <v>4</v>
      </c>
      <c r="N605" s="11">
        <f t="shared" si="438"/>
        <v>180</v>
      </c>
      <c r="O605" s="11">
        <f t="shared" si="439"/>
        <v>2068.1</v>
      </c>
      <c r="P605" s="54"/>
      <c r="Q605" s="39"/>
      <c r="R605" s="39"/>
      <c r="U605" s="41"/>
    </row>
    <row r="606" spans="1:21" s="40" customFormat="1" ht="16.8" customHeight="1">
      <c r="A606" s="33">
        <f>IF(H606&lt;&gt;"",1+MAX($A$5:A605),"")</f>
        <v>388</v>
      </c>
      <c r="B606" s="79"/>
      <c r="C606" s="69"/>
      <c r="D606" s="27" t="s">
        <v>390</v>
      </c>
      <c r="E606" s="35">
        <v>1</v>
      </c>
      <c r="F606" s="36">
        <v>0</v>
      </c>
      <c r="G606" s="37">
        <f t="shared" si="431"/>
        <v>1</v>
      </c>
      <c r="H606" s="38" t="s">
        <v>3</v>
      </c>
      <c r="I606" s="19">
        <v>307.83199999999999</v>
      </c>
      <c r="J606" s="19">
        <f t="shared" si="432"/>
        <v>307.83199999999999</v>
      </c>
      <c r="K606" s="31">
        <v>0.3</v>
      </c>
      <c r="L606" s="19">
        <f t="shared" si="436"/>
        <v>45</v>
      </c>
      <c r="M606" s="32">
        <f t="shared" si="437"/>
        <v>0.3</v>
      </c>
      <c r="N606" s="11">
        <f t="shared" si="438"/>
        <v>13.5</v>
      </c>
      <c r="O606" s="11">
        <f t="shared" si="439"/>
        <v>321.33199999999999</v>
      </c>
      <c r="P606" s="54"/>
      <c r="Q606" s="39"/>
      <c r="R606" s="39"/>
      <c r="U606" s="41"/>
    </row>
    <row r="607" spans="1:21" s="40" customFormat="1" ht="16.8" customHeight="1">
      <c r="A607" s="33">
        <f>IF(H607&lt;&gt;"",1+MAX($A$5:A606),"")</f>
        <v>389</v>
      </c>
      <c r="B607" s="79"/>
      <c r="C607" s="69"/>
      <c r="D607" s="27" t="s">
        <v>391</v>
      </c>
      <c r="E607" s="35">
        <v>3</v>
      </c>
      <c r="F607" s="36">
        <v>0</v>
      </c>
      <c r="G607" s="37">
        <f t="shared" si="431"/>
        <v>3</v>
      </c>
      <c r="H607" s="38" t="s">
        <v>3</v>
      </c>
      <c r="I607" s="19">
        <v>131.48823999999999</v>
      </c>
      <c r="J607" s="19">
        <f t="shared" si="432"/>
        <v>394.46471999999994</v>
      </c>
      <c r="K607" s="31">
        <v>1.8</v>
      </c>
      <c r="L607" s="19">
        <f t="shared" si="436"/>
        <v>45</v>
      </c>
      <c r="M607" s="32">
        <f t="shared" si="437"/>
        <v>5.4</v>
      </c>
      <c r="N607" s="11">
        <f t="shared" si="438"/>
        <v>243.00000000000003</v>
      </c>
      <c r="O607" s="11">
        <f t="shared" si="439"/>
        <v>637.46471999999994</v>
      </c>
      <c r="P607" s="54"/>
      <c r="Q607" s="39"/>
      <c r="R607" s="39"/>
      <c r="U607" s="41"/>
    </row>
    <row r="608" spans="1:21" s="40" customFormat="1" ht="16.8" customHeight="1">
      <c r="A608" s="33">
        <f>IF(H608&lt;&gt;"",1+MAX($A$5:A607),"")</f>
        <v>390</v>
      </c>
      <c r="B608" s="79"/>
      <c r="C608" s="69"/>
      <c r="D608" s="27" t="s">
        <v>392</v>
      </c>
      <c r="E608" s="35">
        <v>1</v>
      </c>
      <c r="F608" s="36">
        <v>0</v>
      </c>
      <c r="G608" s="37">
        <f t="shared" si="431"/>
        <v>1</v>
      </c>
      <c r="H608" s="38" t="s">
        <v>3</v>
      </c>
      <c r="I608" s="19">
        <v>1414.8799999999999</v>
      </c>
      <c r="J608" s="19">
        <f t="shared" si="432"/>
        <v>1414.8799999999999</v>
      </c>
      <c r="K608" s="31">
        <v>4</v>
      </c>
      <c r="L608" s="19">
        <f t="shared" si="436"/>
        <v>45</v>
      </c>
      <c r="M608" s="32">
        <f t="shared" si="437"/>
        <v>4</v>
      </c>
      <c r="N608" s="11">
        <f t="shared" si="438"/>
        <v>180</v>
      </c>
      <c r="O608" s="11">
        <f t="shared" si="439"/>
        <v>1594.8799999999999</v>
      </c>
      <c r="P608" s="54"/>
      <c r="Q608" s="39"/>
      <c r="R608" s="39"/>
      <c r="U608" s="41"/>
    </row>
    <row r="609" spans="1:21" s="40" customFormat="1" ht="16.8" customHeight="1">
      <c r="A609" s="33">
        <f>IF(H609&lt;&gt;"",1+MAX($A$5:A608),"")</f>
        <v>391</v>
      </c>
      <c r="B609" s="79"/>
      <c r="C609" s="69"/>
      <c r="D609" s="27" t="s">
        <v>393</v>
      </c>
      <c r="E609" s="35">
        <v>1</v>
      </c>
      <c r="F609" s="36">
        <v>0</v>
      </c>
      <c r="G609" s="37">
        <f t="shared" si="431"/>
        <v>1</v>
      </c>
      <c r="H609" s="38" t="s">
        <v>3</v>
      </c>
      <c r="I609" s="19">
        <v>2676.7999999999997</v>
      </c>
      <c r="J609" s="19">
        <f t="shared" si="432"/>
        <v>2676.7999999999997</v>
      </c>
      <c r="K609" s="31">
        <v>5.3330000000000002</v>
      </c>
      <c r="L609" s="19">
        <f t="shared" si="436"/>
        <v>45</v>
      </c>
      <c r="M609" s="32">
        <f t="shared" si="437"/>
        <v>5.3330000000000002</v>
      </c>
      <c r="N609" s="11">
        <f t="shared" si="438"/>
        <v>239.98500000000001</v>
      </c>
      <c r="O609" s="11">
        <f t="shared" si="439"/>
        <v>2916.7849999999999</v>
      </c>
      <c r="P609" s="54"/>
      <c r="Q609" s="39"/>
      <c r="R609" s="39"/>
      <c r="U609" s="41"/>
    </row>
    <row r="610" spans="1:21" s="40" customFormat="1" ht="16.8" customHeight="1">
      <c r="A610" s="33">
        <f>IF(H610&lt;&gt;"",1+MAX($A$5:A609),"")</f>
        <v>392</v>
      </c>
      <c r="B610" s="79"/>
      <c r="C610" s="69"/>
      <c r="D610" s="27" t="s">
        <v>394</v>
      </c>
      <c r="E610" s="35">
        <v>1</v>
      </c>
      <c r="F610" s="36">
        <v>0</v>
      </c>
      <c r="G610" s="37">
        <f t="shared" si="431"/>
        <v>1</v>
      </c>
      <c r="H610" s="38" t="s">
        <v>3</v>
      </c>
      <c r="I610" s="19">
        <v>4189.5743999999995</v>
      </c>
      <c r="J610" s="19">
        <f t="shared" si="432"/>
        <v>4189.5743999999995</v>
      </c>
      <c r="K610" s="31">
        <v>12</v>
      </c>
      <c r="L610" s="19">
        <f t="shared" si="436"/>
        <v>45</v>
      </c>
      <c r="M610" s="32">
        <f t="shared" si="437"/>
        <v>12</v>
      </c>
      <c r="N610" s="11">
        <f t="shared" si="438"/>
        <v>540</v>
      </c>
      <c r="O610" s="11">
        <f t="shared" si="439"/>
        <v>4729.5743999999995</v>
      </c>
      <c r="P610" s="54"/>
      <c r="Q610" s="39"/>
      <c r="R610" s="39"/>
      <c r="U610" s="41"/>
    </row>
    <row r="611" spans="1:21" s="40" customFormat="1" ht="16.8" customHeight="1">
      <c r="A611" s="33" t="str">
        <f>IF(H611&lt;&gt;"",1+MAX($A$5:A610),"")</f>
        <v/>
      </c>
      <c r="B611" s="79"/>
      <c r="C611" s="69"/>
      <c r="D611" s="27"/>
      <c r="E611" s="35"/>
      <c r="F611" s="36"/>
      <c r="G611" s="37"/>
      <c r="H611" s="38"/>
      <c r="I611" s="19"/>
      <c r="J611" s="19"/>
      <c r="K611" s="31"/>
      <c r="L611" s="19"/>
      <c r="M611" s="32"/>
      <c r="N611" s="11"/>
      <c r="O611" s="11"/>
      <c r="P611" s="54"/>
      <c r="Q611" s="39"/>
      <c r="R611" s="39"/>
      <c r="U611" s="41"/>
    </row>
    <row r="612" spans="1:21" s="107" customFormat="1" ht="18">
      <c r="A612" s="98" t="str">
        <f>IF(H612&lt;&gt;"",1+MAX($A$5:A612),"")</f>
        <v/>
      </c>
      <c r="B612" s="99"/>
      <c r="C612" s="99"/>
      <c r="D612" s="100" t="s">
        <v>55</v>
      </c>
      <c r="E612" s="101"/>
      <c r="F612" s="102"/>
      <c r="G612" s="103"/>
      <c r="H612" s="102"/>
      <c r="I612" s="102"/>
      <c r="J612" s="102"/>
      <c r="K612" s="102"/>
      <c r="L612" s="102"/>
      <c r="M612" s="102"/>
      <c r="N612" s="104"/>
      <c r="O612" s="102"/>
      <c r="P612" s="105">
        <f>SUM(O614:O624)</f>
        <v>34307.839471200001</v>
      </c>
      <c r="Q612" s="39"/>
      <c r="R612" s="106"/>
      <c r="U612" s="108"/>
    </row>
    <row r="613" spans="1:21" s="3" customFormat="1">
      <c r="A613" s="33" t="str">
        <f>IF(H613&lt;&gt;"",1+MAX($A$5:A612),"")</f>
        <v/>
      </c>
      <c r="B613" s="62"/>
      <c r="C613" s="68"/>
      <c r="D613" s="63"/>
      <c r="E613" s="15"/>
      <c r="F613" s="16"/>
      <c r="G613" s="21"/>
      <c r="H613" s="17"/>
      <c r="I613" s="17"/>
      <c r="J613" s="17"/>
      <c r="K613" s="17"/>
      <c r="L613" s="17"/>
      <c r="M613" s="17"/>
      <c r="N613" s="82" t="s">
        <v>20</v>
      </c>
      <c r="O613" s="29">
        <v>48</v>
      </c>
      <c r="P613" s="54"/>
      <c r="Q613" s="39"/>
      <c r="R613" s="2"/>
      <c r="U613" s="14"/>
    </row>
    <row r="614" spans="1:21" s="40" customFormat="1" ht="16.8" customHeight="1">
      <c r="A614" s="33" t="str">
        <f>IF(H614&lt;&gt;"",1+MAX($A$5:A613),"")</f>
        <v/>
      </c>
      <c r="B614" s="79"/>
      <c r="C614" s="69"/>
      <c r="D614" s="114" t="s">
        <v>401</v>
      </c>
      <c r="E614" s="35"/>
      <c r="F614" s="36"/>
      <c r="G614" s="37"/>
      <c r="H614" s="38"/>
      <c r="I614" s="19"/>
      <c r="J614" s="19"/>
      <c r="K614" s="31"/>
      <c r="L614" s="19"/>
      <c r="M614" s="32"/>
      <c r="N614" s="11"/>
      <c r="O614" s="11"/>
      <c r="P614" s="54"/>
      <c r="Q614" s="39"/>
      <c r="R614" s="39"/>
      <c r="U614" s="41"/>
    </row>
    <row r="615" spans="1:21" s="40" customFormat="1" ht="16.8" customHeight="1">
      <c r="A615" s="33">
        <f>IF(H615&lt;&gt;"",1+MAX($A$5:A614),"")</f>
        <v>393</v>
      </c>
      <c r="B615" s="79"/>
      <c r="C615" s="69"/>
      <c r="D615" s="27" t="s">
        <v>56</v>
      </c>
      <c r="E615" s="35">
        <v>153</v>
      </c>
      <c r="F615" s="36">
        <v>0.1</v>
      </c>
      <c r="G615" s="37">
        <f>(1+F615)*E615</f>
        <v>168.3</v>
      </c>
      <c r="H615" s="38" t="s">
        <v>32</v>
      </c>
      <c r="I615" s="19">
        <v>50.19</v>
      </c>
      <c r="J615" s="19">
        <f t="shared" ref="J615:J616" si="440">G615*I615</f>
        <v>8446.9770000000008</v>
      </c>
      <c r="K615" s="31">
        <v>0.57099999999999995</v>
      </c>
      <c r="L615" s="19">
        <f>$O$613</f>
        <v>48</v>
      </c>
      <c r="M615" s="32">
        <f t="shared" ref="M615" si="441">K615*G615</f>
        <v>96.099299999999999</v>
      </c>
      <c r="N615" s="11">
        <f t="shared" ref="N615" si="442">M615*L615</f>
        <v>4612.7664000000004</v>
      </c>
      <c r="O615" s="11">
        <f t="shared" ref="O615" si="443">N615+J615</f>
        <v>13059.743400000001</v>
      </c>
      <c r="P615" s="54"/>
      <c r="Q615" s="39"/>
      <c r="R615" s="39"/>
      <c r="U615" s="41"/>
    </row>
    <row r="616" spans="1:21" s="40" customFormat="1" ht="16.8" customHeight="1">
      <c r="A616" s="33">
        <f>IF(H616&lt;&gt;"",1+MAX($A$5:A615),"")</f>
        <v>394</v>
      </c>
      <c r="B616" s="79"/>
      <c r="C616" s="69"/>
      <c r="D616" s="27" t="s">
        <v>57</v>
      </c>
      <c r="E616" s="35">
        <v>64.7</v>
      </c>
      <c r="F616" s="36">
        <v>0.1</v>
      </c>
      <c r="G616" s="37">
        <f>(1+F616)*E616</f>
        <v>71.170000000000016</v>
      </c>
      <c r="H616" s="38" t="s">
        <v>4</v>
      </c>
      <c r="I616" s="19">
        <v>10.516</v>
      </c>
      <c r="J616" s="19">
        <f t="shared" si="440"/>
        <v>748.42372000000012</v>
      </c>
      <c r="K616" s="31">
        <v>0.125</v>
      </c>
      <c r="L616" s="19">
        <f>$O$613</f>
        <v>48</v>
      </c>
      <c r="M616" s="32">
        <f t="shared" ref="M616" si="444">K616*G616</f>
        <v>8.896250000000002</v>
      </c>
      <c r="N616" s="11">
        <f t="shared" ref="N616" si="445">M616*L616</f>
        <v>427.0200000000001</v>
      </c>
      <c r="O616" s="11">
        <f t="shared" ref="O616" si="446">N616+J616</f>
        <v>1175.4437200000002</v>
      </c>
      <c r="P616" s="54"/>
      <c r="Q616" s="39"/>
      <c r="R616" s="39"/>
      <c r="U616" s="41"/>
    </row>
    <row r="617" spans="1:21" s="40" customFormat="1" ht="16.8" customHeight="1">
      <c r="A617" s="33" t="str">
        <f>IF(H617&lt;&gt;"",1+MAX($A$5:A616),"")</f>
        <v/>
      </c>
      <c r="B617" s="79"/>
      <c r="C617" s="69"/>
      <c r="D617" s="27" t="s">
        <v>96</v>
      </c>
      <c r="E617" s="35"/>
      <c r="F617" s="36"/>
      <c r="G617" s="37"/>
      <c r="H617" s="38"/>
      <c r="I617" s="19"/>
      <c r="J617" s="19"/>
      <c r="K617" s="31"/>
      <c r="L617" s="19"/>
      <c r="M617" s="32"/>
      <c r="N617" s="11"/>
      <c r="O617" s="11"/>
      <c r="P617" s="54"/>
      <c r="Q617" s="39"/>
      <c r="R617" s="39"/>
      <c r="U617" s="41"/>
    </row>
    <row r="618" spans="1:21" s="40" customFormat="1" ht="16.8" customHeight="1">
      <c r="A618" s="33" t="str">
        <f>IF(H618&lt;&gt;"",1+MAX($A$5:A617),"")</f>
        <v/>
      </c>
      <c r="B618" s="79"/>
      <c r="C618" s="69"/>
      <c r="D618" s="114" t="s">
        <v>395</v>
      </c>
      <c r="E618" s="35"/>
      <c r="F618" s="36"/>
      <c r="G618" s="37"/>
      <c r="H618" s="38"/>
      <c r="I618" s="19"/>
      <c r="J618" s="19"/>
      <c r="K618" s="31"/>
      <c r="L618" s="19"/>
      <c r="M618" s="32"/>
      <c r="N618" s="11"/>
      <c r="O618" s="11"/>
      <c r="P618" s="54"/>
      <c r="Q618" s="39"/>
      <c r="R618" s="39"/>
      <c r="U618" s="41"/>
    </row>
    <row r="619" spans="1:21" s="40" customFormat="1" ht="16.8" customHeight="1">
      <c r="A619" s="33">
        <f>IF(H619&lt;&gt;"",1+MAX($A$5:A618),"")</f>
        <v>395</v>
      </c>
      <c r="B619" s="79"/>
      <c r="C619" s="69"/>
      <c r="D619" s="27" t="s">
        <v>396</v>
      </c>
      <c r="E619" s="35">
        <v>80.59</v>
      </c>
      <c r="F619" s="36">
        <v>0.1</v>
      </c>
      <c r="G619" s="37">
        <f>(1+F619)*E619</f>
        <v>88.649000000000015</v>
      </c>
      <c r="H619" s="38" t="s">
        <v>4</v>
      </c>
      <c r="I619" s="19">
        <v>88.238799999999998</v>
      </c>
      <c r="J619" s="19">
        <f t="shared" ref="J619:J623" si="447">I619*G619</f>
        <v>7822.2813812000013</v>
      </c>
      <c r="K619" s="31">
        <v>0.33</v>
      </c>
      <c r="L619" s="19">
        <f t="shared" ref="L619:L623" si="448">$O$613</f>
        <v>48</v>
      </c>
      <c r="M619" s="32">
        <f t="shared" ref="M619:M623" si="449">K619*G619</f>
        <v>29.254170000000006</v>
      </c>
      <c r="N619" s="11">
        <f t="shared" ref="N619:N623" si="450">M619*L619</f>
        <v>1404.2001600000003</v>
      </c>
      <c r="O619" s="11">
        <f t="shared" ref="O619:O623" si="451">N619+J619</f>
        <v>9226.4815412000025</v>
      </c>
      <c r="P619" s="54"/>
      <c r="Q619" s="39"/>
      <c r="R619" s="39"/>
      <c r="U619" s="41"/>
    </row>
    <row r="620" spans="1:21" s="40" customFormat="1" ht="16.8" customHeight="1">
      <c r="A620" s="33">
        <f>IF(H620&lt;&gt;"",1+MAX($A$5:A619),"")</f>
        <v>396</v>
      </c>
      <c r="B620" s="79"/>
      <c r="C620" s="69"/>
      <c r="D620" s="27" t="s">
        <v>397</v>
      </c>
      <c r="E620" s="35">
        <v>19</v>
      </c>
      <c r="F620" s="36">
        <v>0</v>
      </c>
      <c r="G620" s="37">
        <f>(1+F620)*E620</f>
        <v>19</v>
      </c>
      <c r="H620" s="38" t="s">
        <v>3</v>
      </c>
      <c r="I620" s="19">
        <v>51.623999999999995</v>
      </c>
      <c r="J620" s="19">
        <f t="shared" si="447"/>
        <v>980.85599999999988</v>
      </c>
      <c r="K620" s="31">
        <v>1</v>
      </c>
      <c r="L620" s="19">
        <f t="shared" si="448"/>
        <v>48</v>
      </c>
      <c r="M620" s="32">
        <f t="shared" si="449"/>
        <v>19</v>
      </c>
      <c r="N620" s="11">
        <f t="shared" si="450"/>
        <v>912</v>
      </c>
      <c r="O620" s="11">
        <f t="shared" si="451"/>
        <v>1892.8559999999998</v>
      </c>
      <c r="P620" s="54"/>
      <c r="Q620" s="39"/>
      <c r="R620" s="39"/>
      <c r="U620" s="41"/>
    </row>
    <row r="621" spans="1:21" s="40" customFormat="1" ht="16.8" customHeight="1">
      <c r="A621" s="33">
        <f>IF(H621&lt;&gt;"",1+MAX($A$5:A620),"")</f>
        <v>397</v>
      </c>
      <c r="B621" s="79"/>
      <c r="C621" s="69"/>
      <c r="D621" s="27" t="s">
        <v>398</v>
      </c>
      <c r="E621" s="35">
        <f>E619</f>
        <v>80.59</v>
      </c>
      <c r="F621" s="36">
        <v>0.1</v>
      </c>
      <c r="G621" s="37">
        <f>(1+F621)*E621</f>
        <v>88.649000000000015</v>
      </c>
      <c r="H621" s="38" t="s">
        <v>4</v>
      </c>
      <c r="I621" s="19">
        <v>23.422000000000001</v>
      </c>
      <c r="J621" s="19">
        <f t="shared" si="447"/>
        <v>2076.3368780000005</v>
      </c>
      <c r="K621" s="31">
        <v>0.24</v>
      </c>
      <c r="L621" s="19">
        <f t="shared" si="448"/>
        <v>48</v>
      </c>
      <c r="M621" s="32">
        <f t="shared" si="449"/>
        <v>21.275760000000002</v>
      </c>
      <c r="N621" s="11">
        <f t="shared" si="450"/>
        <v>1021.23648</v>
      </c>
      <c r="O621" s="11">
        <f t="shared" si="451"/>
        <v>3097.5733580000006</v>
      </c>
      <c r="P621" s="54"/>
      <c r="Q621" s="39"/>
      <c r="R621" s="39"/>
      <c r="U621" s="41"/>
    </row>
    <row r="622" spans="1:21" s="40" customFormat="1" ht="16.8" customHeight="1">
      <c r="A622" s="33">
        <f>IF(H622&lt;&gt;"",1+MAX($A$5:A621),"")</f>
        <v>398</v>
      </c>
      <c r="B622" s="79"/>
      <c r="C622" s="69"/>
      <c r="D622" s="27" t="s">
        <v>399</v>
      </c>
      <c r="E622" s="35">
        <f>E619</f>
        <v>80.59</v>
      </c>
      <c r="F622" s="36">
        <v>0.1</v>
      </c>
      <c r="G622" s="37">
        <f>(1+F622)*E622</f>
        <v>88.649000000000015</v>
      </c>
      <c r="H622" s="38" t="s">
        <v>4</v>
      </c>
      <c r="I622" s="19">
        <v>12.427999999999999</v>
      </c>
      <c r="J622" s="19">
        <f t="shared" si="447"/>
        <v>1101.7297720000001</v>
      </c>
      <c r="K622" s="31">
        <v>0.12</v>
      </c>
      <c r="L622" s="19">
        <f t="shared" si="448"/>
        <v>48</v>
      </c>
      <c r="M622" s="32">
        <f t="shared" si="449"/>
        <v>10.637880000000001</v>
      </c>
      <c r="N622" s="11">
        <f t="shared" si="450"/>
        <v>510.61824000000001</v>
      </c>
      <c r="O622" s="11">
        <f t="shared" si="451"/>
        <v>1612.3480120000002</v>
      </c>
      <c r="P622" s="54"/>
      <c r="Q622" s="39"/>
      <c r="R622" s="39"/>
      <c r="U622" s="41"/>
    </row>
    <row r="623" spans="1:21" s="40" customFormat="1" ht="16.8" customHeight="1">
      <c r="A623" s="33">
        <f>IF(H623&lt;&gt;"",1+MAX($A$5:A622),"")</f>
        <v>399</v>
      </c>
      <c r="B623" s="79"/>
      <c r="C623" s="69"/>
      <c r="D623" s="27" t="s">
        <v>400</v>
      </c>
      <c r="E623" s="35">
        <f>ROUNDUP(E619/0.75,0)</f>
        <v>108</v>
      </c>
      <c r="F623" s="36">
        <v>0.1</v>
      </c>
      <c r="G623" s="37">
        <f>(1+F623)*E623</f>
        <v>118.80000000000001</v>
      </c>
      <c r="H623" s="38" t="s">
        <v>4</v>
      </c>
      <c r="I623" s="19">
        <v>21.3188</v>
      </c>
      <c r="J623" s="19">
        <f t="shared" si="447"/>
        <v>2532.67344</v>
      </c>
      <c r="K623" s="31">
        <v>0.3</v>
      </c>
      <c r="L623" s="19">
        <f t="shared" si="448"/>
        <v>48</v>
      </c>
      <c r="M623" s="32">
        <f t="shared" si="449"/>
        <v>35.64</v>
      </c>
      <c r="N623" s="11">
        <f t="shared" si="450"/>
        <v>1710.72</v>
      </c>
      <c r="O623" s="11">
        <f t="shared" si="451"/>
        <v>4243.3934399999998</v>
      </c>
      <c r="P623" s="54"/>
      <c r="Q623" s="39"/>
      <c r="R623" s="39"/>
      <c r="U623" s="41"/>
    </row>
    <row r="624" spans="1:21" s="40" customFormat="1" ht="16.8" customHeight="1">
      <c r="A624" s="33" t="str">
        <f>IF(H624&lt;&gt;"",1+MAX($A$5:A623),"")</f>
        <v/>
      </c>
      <c r="B624" s="79"/>
      <c r="C624" s="69"/>
      <c r="D624" s="27"/>
      <c r="E624" s="35"/>
      <c r="F624" s="36"/>
      <c r="G624" s="37"/>
      <c r="H624" s="38"/>
      <c r="I624" s="19"/>
      <c r="J624" s="19"/>
      <c r="K624" s="31"/>
      <c r="L624" s="19"/>
      <c r="M624" s="32"/>
      <c r="N624" s="11"/>
      <c r="O624" s="11"/>
      <c r="P624" s="54"/>
      <c r="Q624" s="39"/>
      <c r="R624" s="39"/>
      <c r="U624" s="41"/>
    </row>
    <row r="625" spans="1:21" s="107" customFormat="1" ht="18">
      <c r="A625" s="98" t="str">
        <f>IF(H625&lt;&gt;"",1+MAX($A$5:A625),"")</f>
        <v/>
      </c>
      <c r="B625" s="99"/>
      <c r="C625" s="99"/>
      <c r="D625" s="100" t="s">
        <v>61</v>
      </c>
      <c r="E625" s="101"/>
      <c r="F625" s="102"/>
      <c r="G625" s="103"/>
      <c r="H625" s="102"/>
      <c r="I625" s="102"/>
      <c r="J625" s="102"/>
      <c r="K625" s="102"/>
      <c r="L625" s="102"/>
      <c r="M625" s="102"/>
      <c r="N625" s="104"/>
      <c r="O625" s="102"/>
      <c r="P625" s="105">
        <f>SUM(O627:O706)</f>
        <v>60755.5646204</v>
      </c>
      <c r="Q625" s="39"/>
      <c r="R625" s="106"/>
      <c r="U625" s="108"/>
    </row>
    <row r="626" spans="1:21" s="3" customFormat="1">
      <c r="A626" s="33" t="str">
        <f>IF(H626&lt;&gt;"",1+MAX($A$5:A625),"")</f>
        <v/>
      </c>
      <c r="B626" s="62"/>
      <c r="C626" s="68"/>
      <c r="D626" s="63"/>
      <c r="E626" s="15"/>
      <c r="F626" s="16"/>
      <c r="G626" s="21"/>
      <c r="H626" s="17"/>
      <c r="I626" s="17"/>
      <c r="J626" s="17"/>
      <c r="K626" s="17"/>
      <c r="L626" s="17"/>
      <c r="M626" s="17"/>
      <c r="N626" s="82" t="s">
        <v>20</v>
      </c>
      <c r="O626" s="29">
        <v>50</v>
      </c>
      <c r="P626" s="54"/>
      <c r="Q626" s="39"/>
      <c r="R626" s="2"/>
      <c r="U626" s="14"/>
    </row>
    <row r="627" spans="1:21" s="40" customFormat="1" ht="16.8" customHeight="1">
      <c r="A627" s="33" t="str">
        <f>IF(H627&lt;&gt;"",1+MAX($A$5:A626),"")</f>
        <v/>
      </c>
      <c r="B627" s="79"/>
      <c r="C627" s="69"/>
      <c r="D627" s="114" t="s">
        <v>402</v>
      </c>
      <c r="E627" s="35"/>
      <c r="F627" s="36"/>
      <c r="G627" s="37"/>
      <c r="H627" s="38"/>
      <c r="I627" s="19"/>
      <c r="J627" s="19"/>
      <c r="K627" s="31"/>
      <c r="L627" s="19"/>
      <c r="M627" s="32"/>
      <c r="N627" s="11"/>
      <c r="O627" s="11"/>
      <c r="P627" s="54"/>
      <c r="Q627" s="39"/>
      <c r="R627" s="39"/>
      <c r="U627" s="41"/>
    </row>
    <row r="628" spans="1:21" s="40" customFormat="1" ht="16.8" customHeight="1">
      <c r="A628" s="33" t="str">
        <f>IF(H628&lt;&gt;"",1+MAX($A$5:A627),"")</f>
        <v/>
      </c>
      <c r="B628" s="79"/>
      <c r="C628" s="69"/>
      <c r="D628" s="94" t="s">
        <v>403</v>
      </c>
      <c r="E628" s="35"/>
      <c r="F628" s="36"/>
      <c r="G628" s="37"/>
      <c r="H628" s="38"/>
      <c r="I628" s="19"/>
      <c r="J628" s="19"/>
      <c r="K628" s="31"/>
      <c r="L628" s="19"/>
      <c r="M628" s="32"/>
      <c r="N628" s="11"/>
      <c r="O628" s="11"/>
      <c r="P628" s="54"/>
      <c r="Q628" s="39"/>
      <c r="R628" s="39"/>
      <c r="U628" s="41"/>
    </row>
    <row r="629" spans="1:21" s="40" customFormat="1" ht="16.8" customHeight="1">
      <c r="A629" s="33">
        <f>IF(H629&lt;&gt;"",1+MAX($A$5:A628),"")</f>
        <v>400</v>
      </c>
      <c r="B629" s="79"/>
      <c r="C629" s="69"/>
      <c r="D629" s="27" t="s">
        <v>404</v>
      </c>
      <c r="E629" s="35">
        <v>94.07</v>
      </c>
      <c r="F629" s="36">
        <v>0.1</v>
      </c>
      <c r="G629" s="37">
        <f>(1+F629)*E629</f>
        <v>103.477</v>
      </c>
      <c r="H629" s="38" t="s">
        <v>4</v>
      </c>
      <c r="I629" s="19">
        <v>7.9921599999999993</v>
      </c>
      <c r="J629" s="19">
        <f t="shared" ref="J629:J637" si="452">G629*I629</f>
        <v>827.00474032</v>
      </c>
      <c r="K629" s="31">
        <v>0.27100000000000002</v>
      </c>
      <c r="L629" s="19">
        <f>$O$626</f>
        <v>50</v>
      </c>
      <c r="M629" s="32">
        <f t="shared" ref="M629" si="453">K629*G629</f>
        <v>28.042267000000002</v>
      </c>
      <c r="N629" s="11">
        <f t="shared" ref="N629" si="454">M629*L629</f>
        <v>1402.1133500000001</v>
      </c>
      <c r="O629" s="11">
        <f t="shared" ref="O629" si="455">N629+J629</f>
        <v>2229.1180903200002</v>
      </c>
      <c r="P629" s="54"/>
      <c r="Q629" s="39"/>
      <c r="R629" s="39"/>
      <c r="U629" s="41"/>
    </row>
    <row r="630" spans="1:21" s="40" customFormat="1" ht="16.8" customHeight="1">
      <c r="A630" s="33">
        <f>IF(H630&lt;&gt;"",1+MAX($A$5:A629),"")</f>
        <v>401</v>
      </c>
      <c r="B630" s="79"/>
      <c r="C630" s="69"/>
      <c r="D630" s="27" t="s">
        <v>405</v>
      </c>
      <c r="E630" s="35">
        <v>296.60000000000002</v>
      </c>
      <c r="F630" s="36">
        <v>0.1</v>
      </c>
      <c r="G630" s="37">
        <f>(1+F630)*E630</f>
        <v>326.26000000000005</v>
      </c>
      <c r="H630" s="38" t="s">
        <v>4</v>
      </c>
      <c r="I630" s="19">
        <v>7.9921599999999993</v>
      </c>
      <c r="J630" s="19">
        <f t="shared" si="452"/>
        <v>2607.5221216</v>
      </c>
      <c r="K630" s="31">
        <v>0.27100000000000002</v>
      </c>
      <c r="L630" s="19">
        <f t="shared" ref="L630:L631" si="456">$O$626</f>
        <v>50</v>
      </c>
      <c r="M630" s="32">
        <f t="shared" ref="M630:M631" si="457">K630*G630</f>
        <v>88.416460000000015</v>
      </c>
      <c r="N630" s="11">
        <f t="shared" ref="N630:N631" si="458">M630*L630</f>
        <v>4420.8230000000003</v>
      </c>
      <c r="O630" s="11">
        <f t="shared" ref="O630:O631" si="459">N630+J630</f>
        <v>7028.3451216000003</v>
      </c>
      <c r="P630" s="54"/>
      <c r="Q630" s="39"/>
      <c r="R630" s="39"/>
      <c r="U630" s="41"/>
    </row>
    <row r="631" spans="1:21" s="40" customFormat="1" ht="16.8" customHeight="1">
      <c r="A631" s="33">
        <f>IF(H631&lt;&gt;"",1+MAX($A$5:A630),"")</f>
        <v>402</v>
      </c>
      <c r="B631" s="79"/>
      <c r="C631" s="69"/>
      <c r="D631" s="27" t="s">
        <v>406</v>
      </c>
      <c r="E631" s="35">
        <v>31.22</v>
      </c>
      <c r="F631" s="36">
        <v>0.1</v>
      </c>
      <c r="G631" s="37">
        <f>(1+F631)*E631</f>
        <v>34.341999999999999</v>
      </c>
      <c r="H631" s="38" t="s">
        <v>4</v>
      </c>
      <c r="I631" s="19">
        <v>15.04744</v>
      </c>
      <c r="J631" s="19">
        <f t="shared" si="452"/>
        <v>516.75918447999993</v>
      </c>
      <c r="K631" s="31">
        <v>0.30199999999999999</v>
      </c>
      <c r="L631" s="19">
        <f t="shared" si="456"/>
        <v>50</v>
      </c>
      <c r="M631" s="32">
        <f t="shared" si="457"/>
        <v>10.371283999999999</v>
      </c>
      <c r="N631" s="11">
        <f t="shared" si="458"/>
        <v>518.56419999999991</v>
      </c>
      <c r="O631" s="11">
        <f t="shared" si="459"/>
        <v>1035.3233844799997</v>
      </c>
      <c r="P631" s="54"/>
      <c r="Q631" s="39"/>
      <c r="R631" s="39"/>
      <c r="U631" s="41"/>
    </row>
    <row r="632" spans="1:21" s="40" customFormat="1" ht="16.8" customHeight="1">
      <c r="A632" s="33" t="str">
        <f>IF(H632&lt;&gt;"",1+MAX($A$5:A631),"")</f>
        <v/>
      </c>
      <c r="B632" s="79"/>
      <c r="C632" s="69"/>
      <c r="D632" s="27" t="s">
        <v>96</v>
      </c>
      <c r="E632" s="35"/>
      <c r="F632" s="36"/>
      <c r="G632" s="37"/>
      <c r="H632" s="38"/>
      <c r="I632" s="19"/>
      <c r="J632" s="19"/>
      <c r="K632" s="31"/>
      <c r="L632" s="19"/>
      <c r="M632" s="32"/>
      <c r="N632" s="11"/>
      <c r="O632" s="11"/>
      <c r="P632" s="54"/>
      <c r="Q632" s="39"/>
      <c r="R632" s="39"/>
      <c r="U632" s="41"/>
    </row>
    <row r="633" spans="1:21" s="40" customFormat="1" ht="16.8" customHeight="1">
      <c r="A633" s="33" t="str">
        <f>IF(H633&lt;&gt;"",1+MAX($A$5:A632),"")</f>
        <v/>
      </c>
      <c r="B633" s="79"/>
      <c r="C633" s="69"/>
      <c r="D633" s="94" t="s">
        <v>407</v>
      </c>
      <c r="E633" s="35"/>
      <c r="F633" s="36"/>
      <c r="G633" s="37"/>
      <c r="H633" s="38"/>
      <c r="I633" s="19"/>
      <c r="J633" s="19"/>
      <c r="K633" s="31"/>
      <c r="L633" s="19"/>
      <c r="M633" s="32"/>
      <c r="N633" s="11"/>
      <c r="O633" s="11"/>
      <c r="P633" s="54"/>
      <c r="Q633" s="39"/>
      <c r="R633" s="39"/>
      <c r="U633" s="41"/>
    </row>
    <row r="634" spans="1:21" s="40" customFormat="1" ht="16.8" customHeight="1">
      <c r="A634" s="33">
        <f>IF(H634&lt;&gt;"",1+MAX($A$5:A633),"")</f>
        <v>403</v>
      </c>
      <c r="B634" s="79"/>
      <c r="C634" s="69"/>
      <c r="D634" s="27" t="s">
        <v>408</v>
      </c>
      <c r="E634" s="35">
        <v>52</v>
      </c>
      <c r="F634" s="36">
        <v>0.1</v>
      </c>
      <c r="G634" s="37">
        <f>(1+F634)*E634</f>
        <v>57.2</v>
      </c>
      <c r="H634" s="38" t="s">
        <v>4</v>
      </c>
      <c r="I634" s="19">
        <v>12.064719999999999</v>
      </c>
      <c r="J634" s="19">
        <f t="shared" si="452"/>
        <v>690.10198400000002</v>
      </c>
      <c r="K634" s="31">
        <v>0.127</v>
      </c>
      <c r="L634" s="19">
        <f t="shared" ref="L634:L638" si="460">$O$626</f>
        <v>50</v>
      </c>
      <c r="M634" s="32">
        <f t="shared" ref="M634:M638" si="461">K634*G634</f>
        <v>7.2644000000000002</v>
      </c>
      <c r="N634" s="11">
        <f t="shared" ref="N634:N638" si="462">M634*L634</f>
        <v>363.22</v>
      </c>
      <c r="O634" s="11">
        <f t="shared" ref="O634:O638" si="463">N634+J634</f>
        <v>1053.3219840000002</v>
      </c>
      <c r="P634" s="54"/>
      <c r="Q634" s="39"/>
      <c r="R634" s="39"/>
      <c r="U634" s="41"/>
    </row>
    <row r="635" spans="1:21" s="40" customFormat="1" ht="16.8" customHeight="1">
      <c r="A635" s="33">
        <f>IF(H635&lt;&gt;"",1+MAX($A$5:A634),"")</f>
        <v>404</v>
      </c>
      <c r="B635" s="79"/>
      <c r="C635" s="69"/>
      <c r="D635" s="27" t="s">
        <v>409</v>
      </c>
      <c r="E635" s="35">
        <v>35</v>
      </c>
      <c r="F635" s="36">
        <v>0.1</v>
      </c>
      <c r="G635" s="37">
        <f>(1+F635)*E635</f>
        <v>38.5</v>
      </c>
      <c r="H635" s="38" t="s">
        <v>4</v>
      </c>
      <c r="I635" s="19">
        <v>18.527279999999998</v>
      </c>
      <c r="J635" s="19">
        <f t="shared" si="452"/>
        <v>713.30027999999993</v>
      </c>
      <c r="K635" s="31">
        <v>0.157</v>
      </c>
      <c r="L635" s="19">
        <f t="shared" si="460"/>
        <v>50</v>
      </c>
      <c r="M635" s="32">
        <f t="shared" si="461"/>
        <v>6.0445000000000002</v>
      </c>
      <c r="N635" s="11">
        <f t="shared" si="462"/>
        <v>302.22500000000002</v>
      </c>
      <c r="O635" s="11">
        <f t="shared" si="463"/>
        <v>1015.52528</v>
      </c>
      <c r="P635" s="54"/>
      <c r="Q635" s="39"/>
      <c r="R635" s="39"/>
      <c r="U635" s="41"/>
    </row>
    <row r="636" spans="1:21" s="40" customFormat="1" ht="16.8" customHeight="1">
      <c r="A636" s="33">
        <f>IF(H636&lt;&gt;"",1+MAX($A$5:A635),"")</f>
        <v>405</v>
      </c>
      <c r="B636" s="79"/>
      <c r="C636" s="69"/>
      <c r="D636" s="27" t="s">
        <v>410</v>
      </c>
      <c r="E636" s="35">
        <v>20</v>
      </c>
      <c r="F636" s="36">
        <v>0.1</v>
      </c>
      <c r="G636" s="37">
        <f>(1+F636)*E636</f>
        <v>22</v>
      </c>
      <c r="H636" s="38" t="s">
        <v>4</v>
      </c>
      <c r="I636" s="19">
        <v>15.946079999999998</v>
      </c>
      <c r="J636" s="19">
        <f t="shared" si="452"/>
        <v>350.81375999999995</v>
      </c>
      <c r="K636" s="31">
        <v>0.13800000000000001</v>
      </c>
      <c r="L636" s="19">
        <f t="shared" si="460"/>
        <v>50</v>
      </c>
      <c r="M636" s="32">
        <f t="shared" si="461"/>
        <v>3.0360000000000005</v>
      </c>
      <c r="N636" s="11">
        <f t="shared" si="462"/>
        <v>151.80000000000001</v>
      </c>
      <c r="O636" s="11">
        <f t="shared" si="463"/>
        <v>502.61375999999996</v>
      </c>
      <c r="P636" s="54"/>
      <c r="Q636" s="39"/>
      <c r="R636" s="39"/>
      <c r="U636" s="41"/>
    </row>
    <row r="637" spans="1:21" s="40" customFormat="1" ht="16.8" customHeight="1">
      <c r="A637" s="33">
        <f>IF(H637&lt;&gt;"",1+MAX($A$5:A636),"")</f>
        <v>406</v>
      </c>
      <c r="B637" s="79"/>
      <c r="C637" s="69"/>
      <c r="D637" s="27" t="s">
        <v>411</v>
      </c>
      <c r="E637" s="35">
        <v>145</v>
      </c>
      <c r="F637" s="36">
        <v>0.1</v>
      </c>
      <c r="G637" s="37">
        <f>(1+F637)*E637</f>
        <v>159.5</v>
      </c>
      <c r="H637" s="38" t="s">
        <v>4</v>
      </c>
      <c r="I637" s="19">
        <v>23.34552</v>
      </c>
      <c r="J637" s="19">
        <f t="shared" si="452"/>
        <v>3723.6104399999999</v>
      </c>
      <c r="K637" s="31">
        <v>0.2</v>
      </c>
      <c r="L637" s="19">
        <f t="shared" si="460"/>
        <v>50</v>
      </c>
      <c r="M637" s="32">
        <f t="shared" si="461"/>
        <v>31.900000000000002</v>
      </c>
      <c r="N637" s="11">
        <f t="shared" si="462"/>
        <v>1595</v>
      </c>
      <c r="O637" s="11">
        <f t="shared" si="463"/>
        <v>5318.6104400000004</v>
      </c>
      <c r="P637" s="54"/>
      <c r="Q637" s="39"/>
      <c r="R637" s="39"/>
      <c r="U637" s="41"/>
    </row>
    <row r="638" spans="1:21" s="40" customFormat="1" ht="16.8" customHeight="1">
      <c r="A638" s="33">
        <f>IF(H638&lt;&gt;"",1+MAX($A$5:A637),"")</f>
        <v>407</v>
      </c>
      <c r="B638" s="79"/>
      <c r="C638" s="69"/>
      <c r="D638" s="27" t="s">
        <v>412</v>
      </c>
      <c r="E638" s="35">
        <v>10</v>
      </c>
      <c r="F638" s="36">
        <v>0.1</v>
      </c>
      <c r="G638" s="37">
        <f>(1+F638)*E638</f>
        <v>11</v>
      </c>
      <c r="H638" s="38" t="s">
        <v>4</v>
      </c>
      <c r="I638" s="19">
        <v>10.1814</v>
      </c>
      <c r="J638" s="19">
        <f>G638*I638</f>
        <v>111.9954</v>
      </c>
      <c r="K638" s="31">
        <v>0.113</v>
      </c>
      <c r="L638" s="19">
        <f t="shared" si="460"/>
        <v>50</v>
      </c>
      <c r="M638" s="32">
        <f t="shared" si="461"/>
        <v>1.2430000000000001</v>
      </c>
      <c r="N638" s="11">
        <f t="shared" si="462"/>
        <v>62.150000000000006</v>
      </c>
      <c r="O638" s="11">
        <f t="shared" si="463"/>
        <v>174.1454</v>
      </c>
      <c r="P638" s="54"/>
      <c r="Q638" s="39"/>
      <c r="R638" s="39"/>
      <c r="U638" s="41"/>
    </row>
    <row r="639" spans="1:21" s="40" customFormat="1" ht="16.8" customHeight="1">
      <c r="A639" s="33" t="str">
        <f>IF(H639&lt;&gt;"",1+MAX($A$5:A638),"")</f>
        <v/>
      </c>
      <c r="B639" s="79"/>
      <c r="C639" s="69"/>
      <c r="D639" s="27" t="s">
        <v>96</v>
      </c>
      <c r="E639" s="35"/>
      <c r="F639" s="36"/>
      <c r="G639" s="37"/>
      <c r="H639" s="38"/>
      <c r="I639" s="19"/>
      <c r="J639" s="19"/>
      <c r="K639" s="31"/>
      <c r="L639" s="19"/>
      <c r="M639" s="32"/>
      <c r="N639" s="11"/>
      <c r="O639" s="11"/>
      <c r="P639" s="54"/>
      <c r="Q639" s="39"/>
      <c r="R639" s="39"/>
      <c r="U639" s="41"/>
    </row>
    <row r="640" spans="1:21" s="40" customFormat="1" ht="16.8" customHeight="1">
      <c r="A640" s="33" t="str">
        <f>IF(H640&lt;&gt;"",1+MAX($A$5:A639),"")</f>
        <v/>
      </c>
      <c r="B640" s="79"/>
      <c r="C640" s="69"/>
      <c r="D640" s="114" t="s">
        <v>413</v>
      </c>
      <c r="E640" s="35"/>
      <c r="F640" s="36"/>
      <c r="G640" s="37"/>
      <c r="H640" s="38"/>
      <c r="I640" s="19"/>
      <c r="J640" s="19"/>
      <c r="K640" s="31"/>
      <c r="L640" s="19"/>
      <c r="M640" s="32"/>
      <c r="N640" s="11"/>
      <c r="O640" s="11"/>
      <c r="P640" s="54"/>
      <c r="Q640" s="39"/>
      <c r="R640" s="39"/>
      <c r="U640" s="41"/>
    </row>
    <row r="641" spans="1:21" s="40" customFormat="1" ht="16.8" customHeight="1">
      <c r="A641" s="33" t="str">
        <f>IF(H641&lt;&gt;"",1+MAX($A$5:A640),"")</f>
        <v/>
      </c>
      <c r="B641" s="79"/>
      <c r="C641" s="69"/>
      <c r="D641" s="94" t="s">
        <v>403</v>
      </c>
      <c r="E641" s="35"/>
      <c r="F641" s="36"/>
      <c r="G641" s="37"/>
      <c r="H641" s="38"/>
      <c r="I641" s="19"/>
      <c r="J641" s="19"/>
      <c r="K641" s="31"/>
      <c r="L641" s="19"/>
      <c r="M641" s="32"/>
      <c r="N641" s="11"/>
      <c r="O641" s="11"/>
      <c r="P641" s="54"/>
      <c r="Q641" s="39"/>
      <c r="R641" s="39"/>
      <c r="U641" s="41"/>
    </row>
    <row r="642" spans="1:21" s="40" customFormat="1" ht="16.8" customHeight="1">
      <c r="A642" s="33">
        <f>IF(H642&lt;&gt;"",1+MAX($A$5:A641),"")</f>
        <v>408</v>
      </c>
      <c r="B642" s="79"/>
      <c r="C642" s="69"/>
      <c r="D642" s="27" t="s">
        <v>414</v>
      </c>
      <c r="E642" s="35">
        <v>32</v>
      </c>
      <c r="F642" s="36">
        <v>0</v>
      </c>
      <c r="G642" s="37">
        <f t="shared" ref="G642:G652" si="464">(1+F642)*E642</f>
        <v>32</v>
      </c>
      <c r="H642" s="38" t="s">
        <v>3</v>
      </c>
      <c r="I642" s="19">
        <v>42.542000000000002</v>
      </c>
      <c r="J642" s="19">
        <f t="shared" ref="J642:J652" si="465">G642*I642</f>
        <v>1361.3440000000001</v>
      </c>
      <c r="K642" s="31">
        <v>0.32</v>
      </c>
      <c r="L642" s="19">
        <f t="shared" ref="L642:L652" si="466">$O$626</f>
        <v>50</v>
      </c>
      <c r="M642" s="32">
        <f t="shared" ref="M642:M652" si="467">K642*G642</f>
        <v>10.24</v>
      </c>
      <c r="N642" s="11">
        <f t="shared" ref="N642:N652" si="468">M642*L642</f>
        <v>512</v>
      </c>
      <c r="O642" s="11">
        <f t="shared" ref="O642:O652" si="469">N642+J642</f>
        <v>1873.3440000000001</v>
      </c>
      <c r="P642" s="54"/>
      <c r="Q642" s="39"/>
      <c r="R642" s="39"/>
      <c r="U642" s="41"/>
    </row>
    <row r="643" spans="1:21" s="40" customFormat="1" ht="16.8" customHeight="1">
      <c r="A643" s="33">
        <f>IF(H643&lt;&gt;"",1+MAX($A$5:A642),"")</f>
        <v>409</v>
      </c>
      <c r="B643" s="79"/>
      <c r="C643" s="69"/>
      <c r="D643" s="27" t="s">
        <v>415</v>
      </c>
      <c r="E643" s="35">
        <v>7</v>
      </c>
      <c r="F643" s="36">
        <v>0</v>
      </c>
      <c r="G643" s="37">
        <f t="shared" si="464"/>
        <v>7</v>
      </c>
      <c r="H643" s="38" t="s">
        <v>3</v>
      </c>
      <c r="I643" s="19">
        <v>42.542000000000002</v>
      </c>
      <c r="J643" s="19">
        <f t="shared" si="465"/>
        <v>297.79399999999998</v>
      </c>
      <c r="K643" s="31">
        <v>0.32</v>
      </c>
      <c r="L643" s="19">
        <f t="shared" si="466"/>
        <v>50</v>
      </c>
      <c r="M643" s="32">
        <f t="shared" si="467"/>
        <v>2.2400000000000002</v>
      </c>
      <c r="N643" s="11">
        <f t="shared" si="468"/>
        <v>112.00000000000001</v>
      </c>
      <c r="O643" s="11">
        <f t="shared" si="469"/>
        <v>409.79399999999998</v>
      </c>
      <c r="P643" s="54"/>
      <c r="Q643" s="39"/>
      <c r="R643" s="39"/>
      <c r="U643" s="41"/>
    </row>
    <row r="644" spans="1:21" s="40" customFormat="1" ht="16.8" customHeight="1">
      <c r="A644" s="33">
        <f>IF(H644&lt;&gt;"",1+MAX($A$5:A643),"")</f>
        <v>410</v>
      </c>
      <c r="B644" s="79"/>
      <c r="C644" s="69"/>
      <c r="D644" s="27" t="s">
        <v>416</v>
      </c>
      <c r="E644" s="35">
        <v>9</v>
      </c>
      <c r="F644" s="36">
        <v>0</v>
      </c>
      <c r="G644" s="37">
        <f t="shared" si="464"/>
        <v>9</v>
      </c>
      <c r="H644" s="38" t="s">
        <v>3</v>
      </c>
      <c r="I644" s="19">
        <v>65.486000000000004</v>
      </c>
      <c r="J644" s="19">
        <f t="shared" si="465"/>
        <v>589.37400000000002</v>
      </c>
      <c r="K644" s="31">
        <v>0.47099999999999997</v>
      </c>
      <c r="L644" s="19">
        <f t="shared" si="466"/>
        <v>50</v>
      </c>
      <c r="M644" s="32">
        <f t="shared" si="467"/>
        <v>4.2389999999999999</v>
      </c>
      <c r="N644" s="11">
        <f t="shared" si="468"/>
        <v>211.95</v>
      </c>
      <c r="O644" s="11">
        <f t="shared" si="469"/>
        <v>801.32400000000007</v>
      </c>
      <c r="P644" s="54"/>
      <c r="Q644" s="39"/>
      <c r="R644" s="39"/>
      <c r="U644" s="41"/>
    </row>
    <row r="645" spans="1:21" s="40" customFormat="1" ht="16.8" customHeight="1">
      <c r="A645" s="33">
        <f>IF(H645&lt;&gt;"",1+MAX($A$5:A644),"")</f>
        <v>411</v>
      </c>
      <c r="B645" s="79"/>
      <c r="C645" s="69"/>
      <c r="D645" s="27" t="s">
        <v>417</v>
      </c>
      <c r="E645" s="35">
        <v>1</v>
      </c>
      <c r="F645" s="36">
        <v>0</v>
      </c>
      <c r="G645" s="37">
        <f t="shared" si="464"/>
        <v>1</v>
      </c>
      <c r="H645" s="38" t="s">
        <v>3</v>
      </c>
      <c r="I645" s="19">
        <v>65.486000000000004</v>
      </c>
      <c r="J645" s="19">
        <f t="shared" si="465"/>
        <v>65.486000000000004</v>
      </c>
      <c r="K645" s="31">
        <v>0.47099999999999997</v>
      </c>
      <c r="L645" s="19">
        <f t="shared" si="466"/>
        <v>50</v>
      </c>
      <c r="M645" s="32">
        <f t="shared" si="467"/>
        <v>0.47099999999999997</v>
      </c>
      <c r="N645" s="11">
        <f t="shared" si="468"/>
        <v>23.549999999999997</v>
      </c>
      <c r="O645" s="11">
        <f t="shared" si="469"/>
        <v>89.036000000000001</v>
      </c>
      <c r="P645" s="54"/>
      <c r="Q645" s="39"/>
      <c r="R645" s="39"/>
      <c r="U645" s="41"/>
    </row>
    <row r="646" spans="1:21" s="40" customFormat="1" ht="16.8" customHeight="1">
      <c r="A646" s="33">
        <f>IF(H646&lt;&gt;"",1+MAX($A$5:A645),"")</f>
        <v>412</v>
      </c>
      <c r="B646" s="79"/>
      <c r="C646" s="69"/>
      <c r="D646" s="27" t="s">
        <v>418</v>
      </c>
      <c r="E646" s="35">
        <v>18</v>
      </c>
      <c r="F646" s="36">
        <v>0</v>
      </c>
      <c r="G646" s="37">
        <f t="shared" si="464"/>
        <v>18</v>
      </c>
      <c r="H646" s="38" t="s">
        <v>3</v>
      </c>
      <c r="I646" s="19">
        <v>65.486000000000004</v>
      </c>
      <c r="J646" s="19">
        <f t="shared" si="465"/>
        <v>1178.748</v>
      </c>
      <c r="K646" s="31">
        <v>0.47099999999999997</v>
      </c>
      <c r="L646" s="19">
        <f t="shared" si="466"/>
        <v>50</v>
      </c>
      <c r="M646" s="32">
        <f t="shared" si="467"/>
        <v>8.4779999999999998</v>
      </c>
      <c r="N646" s="11">
        <f t="shared" si="468"/>
        <v>423.9</v>
      </c>
      <c r="O646" s="11">
        <f t="shared" si="469"/>
        <v>1602.6480000000001</v>
      </c>
      <c r="P646" s="54"/>
      <c r="Q646" s="39"/>
      <c r="R646" s="39"/>
      <c r="U646" s="41"/>
    </row>
    <row r="647" spans="1:21" s="40" customFormat="1" ht="16.8" customHeight="1">
      <c r="A647" s="33">
        <f>IF(H647&lt;&gt;"",1+MAX($A$5:A646),"")</f>
        <v>413</v>
      </c>
      <c r="B647" s="79"/>
      <c r="C647" s="69"/>
      <c r="D647" s="27" t="s">
        <v>419</v>
      </c>
      <c r="E647" s="35">
        <v>17</v>
      </c>
      <c r="F647" s="36">
        <v>0</v>
      </c>
      <c r="G647" s="37">
        <f t="shared" si="464"/>
        <v>17</v>
      </c>
      <c r="H647" s="38" t="s">
        <v>3</v>
      </c>
      <c r="I647" s="19">
        <v>74.567999999999998</v>
      </c>
      <c r="J647" s="19">
        <f t="shared" si="465"/>
        <v>1267.6559999999999</v>
      </c>
      <c r="K647" s="31">
        <v>0.48499999999999999</v>
      </c>
      <c r="L647" s="19">
        <f t="shared" si="466"/>
        <v>50</v>
      </c>
      <c r="M647" s="32">
        <f t="shared" si="467"/>
        <v>8.2449999999999992</v>
      </c>
      <c r="N647" s="11">
        <f t="shared" si="468"/>
        <v>412.24999999999994</v>
      </c>
      <c r="O647" s="11">
        <f t="shared" si="469"/>
        <v>1679.9059999999999</v>
      </c>
      <c r="P647" s="54"/>
      <c r="Q647" s="39"/>
      <c r="R647" s="39"/>
      <c r="U647" s="41"/>
    </row>
    <row r="648" spans="1:21" s="40" customFormat="1" ht="16.8" customHeight="1">
      <c r="A648" s="33">
        <f>IF(H648&lt;&gt;"",1+MAX($A$5:A647),"")</f>
        <v>414</v>
      </c>
      <c r="B648" s="79"/>
      <c r="C648" s="69"/>
      <c r="D648" s="27" t="s">
        <v>420</v>
      </c>
      <c r="E648" s="35">
        <v>7</v>
      </c>
      <c r="F648" s="36">
        <v>0</v>
      </c>
      <c r="G648" s="37">
        <f t="shared" si="464"/>
        <v>7</v>
      </c>
      <c r="H648" s="38" t="s">
        <v>3</v>
      </c>
      <c r="I648" s="19">
        <v>74.567999999999998</v>
      </c>
      <c r="J648" s="19">
        <f t="shared" si="465"/>
        <v>521.976</v>
      </c>
      <c r="K648" s="31">
        <v>0.48499999999999999</v>
      </c>
      <c r="L648" s="19">
        <f t="shared" si="466"/>
        <v>50</v>
      </c>
      <c r="M648" s="32">
        <f t="shared" si="467"/>
        <v>3.395</v>
      </c>
      <c r="N648" s="11">
        <f t="shared" si="468"/>
        <v>169.75</v>
      </c>
      <c r="O648" s="11">
        <f t="shared" si="469"/>
        <v>691.726</v>
      </c>
      <c r="P648" s="54"/>
      <c r="Q648" s="39"/>
      <c r="R648" s="39"/>
      <c r="U648" s="41"/>
    </row>
    <row r="649" spans="1:21" s="40" customFormat="1" ht="16.8" customHeight="1">
      <c r="A649" s="33">
        <f>IF(H649&lt;&gt;"",1+MAX($A$5:A648),"")</f>
        <v>415</v>
      </c>
      <c r="B649" s="79"/>
      <c r="C649" s="69"/>
      <c r="D649" s="27" t="s">
        <v>421</v>
      </c>
      <c r="E649" s="35">
        <v>25</v>
      </c>
      <c r="F649" s="36">
        <v>0</v>
      </c>
      <c r="G649" s="37">
        <f t="shared" si="464"/>
        <v>25</v>
      </c>
      <c r="H649" s="38" t="s">
        <v>3</v>
      </c>
      <c r="I649" s="19">
        <v>89.385999999999996</v>
      </c>
      <c r="J649" s="19">
        <f t="shared" si="465"/>
        <v>2234.65</v>
      </c>
      <c r="K649" s="31">
        <v>0.72699999999999998</v>
      </c>
      <c r="L649" s="19">
        <f t="shared" si="466"/>
        <v>50</v>
      </c>
      <c r="M649" s="32">
        <f t="shared" si="467"/>
        <v>18.175000000000001</v>
      </c>
      <c r="N649" s="11">
        <f t="shared" si="468"/>
        <v>908.75</v>
      </c>
      <c r="O649" s="11">
        <f t="shared" si="469"/>
        <v>3143.4</v>
      </c>
      <c r="P649" s="54"/>
      <c r="Q649" s="39"/>
      <c r="R649" s="39"/>
      <c r="U649" s="41"/>
    </row>
    <row r="650" spans="1:21" s="40" customFormat="1" ht="16.8" customHeight="1">
      <c r="A650" s="33">
        <f>IF(H650&lt;&gt;"",1+MAX($A$5:A649),"")</f>
        <v>416</v>
      </c>
      <c r="B650" s="79"/>
      <c r="C650" s="69"/>
      <c r="D650" s="27" t="s">
        <v>422</v>
      </c>
      <c r="E650" s="35">
        <v>1</v>
      </c>
      <c r="F650" s="36">
        <v>0</v>
      </c>
      <c r="G650" s="37">
        <f t="shared" si="464"/>
        <v>1</v>
      </c>
      <c r="H650" s="38" t="s">
        <v>3</v>
      </c>
      <c r="I650" s="19">
        <v>89.385999999999996</v>
      </c>
      <c r="J650" s="19">
        <f t="shared" si="465"/>
        <v>89.385999999999996</v>
      </c>
      <c r="K650" s="31">
        <v>0.72699999999999998</v>
      </c>
      <c r="L650" s="19">
        <f t="shared" si="466"/>
        <v>50</v>
      </c>
      <c r="M650" s="32">
        <f t="shared" si="467"/>
        <v>0.72699999999999998</v>
      </c>
      <c r="N650" s="11">
        <f t="shared" si="468"/>
        <v>36.35</v>
      </c>
      <c r="O650" s="11">
        <f t="shared" si="469"/>
        <v>125.73599999999999</v>
      </c>
      <c r="P650" s="54"/>
      <c r="Q650" s="39"/>
      <c r="R650" s="39"/>
      <c r="U650" s="41"/>
    </row>
    <row r="651" spans="1:21" s="40" customFormat="1" ht="16.8" customHeight="1">
      <c r="A651" s="33">
        <f>IF(H651&lt;&gt;"",1+MAX($A$5:A650),"")</f>
        <v>417</v>
      </c>
      <c r="B651" s="79"/>
      <c r="C651" s="69"/>
      <c r="D651" s="27" t="s">
        <v>423</v>
      </c>
      <c r="E651" s="35">
        <v>3</v>
      </c>
      <c r="F651" s="36">
        <v>0</v>
      </c>
      <c r="G651" s="37">
        <f t="shared" si="464"/>
        <v>3</v>
      </c>
      <c r="H651" s="38" t="s">
        <v>3</v>
      </c>
      <c r="I651" s="19">
        <v>89.385999999999996</v>
      </c>
      <c r="J651" s="19">
        <f t="shared" si="465"/>
        <v>268.15800000000002</v>
      </c>
      <c r="K651" s="31">
        <v>0.72699999999999998</v>
      </c>
      <c r="L651" s="19">
        <f t="shared" si="466"/>
        <v>50</v>
      </c>
      <c r="M651" s="32">
        <f t="shared" si="467"/>
        <v>2.181</v>
      </c>
      <c r="N651" s="11">
        <f t="shared" si="468"/>
        <v>109.05</v>
      </c>
      <c r="O651" s="11">
        <f t="shared" si="469"/>
        <v>377.20800000000003</v>
      </c>
      <c r="P651" s="54"/>
      <c r="Q651" s="39"/>
      <c r="R651" s="39"/>
      <c r="U651" s="41"/>
    </row>
    <row r="652" spans="1:21" s="40" customFormat="1" ht="16.8" customHeight="1">
      <c r="A652" s="33">
        <f>IF(H652&lt;&gt;"",1+MAX($A$5:A651),"")</f>
        <v>418</v>
      </c>
      <c r="B652" s="79"/>
      <c r="C652" s="69"/>
      <c r="D652" s="27" t="s">
        <v>424</v>
      </c>
      <c r="E652" s="35">
        <v>2</v>
      </c>
      <c r="F652" s="36">
        <v>0</v>
      </c>
      <c r="G652" s="37">
        <f t="shared" si="464"/>
        <v>2</v>
      </c>
      <c r="H652" s="38" t="s">
        <v>3</v>
      </c>
      <c r="I652" s="19">
        <v>89.385999999999996</v>
      </c>
      <c r="J652" s="19">
        <f t="shared" si="465"/>
        <v>178.77199999999999</v>
      </c>
      <c r="K652" s="31">
        <v>0.72699999999999998</v>
      </c>
      <c r="L652" s="19">
        <f t="shared" si="466"/>
        <v>50</v>
      </c>
      <c r="M652" s="32">
        <f t="shared" si="467"/>
        <v>1.454</v>
      </c>
      <c r="N652" s="11">
        <f t="shared" si="468"/>
        <v>72.7</v>
      </c>
      <c r="O652" s="11">
        <f t="shared" si="469"/>
        <v>251.47199999999998</v>
      </c>
      <c r="P652" s="54"/>
      <c r="Q652" s="39"/>
      <c r="R652" s="39"/>
      <c r="U652" s="41"/>
    </row>
    <row r="653" spans="1:21" s="40" customFormat="1" ht="16.8" customHeight="1">
      <c r="A653" s="33" t="str">
        <f>IF(H653&lt;&gt;"",1+MAX($A$5:A652),"")</f>
        <v/>
      </c>
      <c r="B653" s="79"/>
      <c r="C653" s="69"/>
      <c r="D653" s="27" t="s">
        <v>96</v>
      </c>
      <c r="E653" s="35"/>
      <c r="F653" s="36"/>
      <c r="G653" s="37"/>
      <c r="H653" s="38"/>
      <c r="I653" s="19"/>
      <c r="J653" s="19"/>
      <c r="K653" s="31"/>
      <c r="L653" s="19"/>
      <c r="M653" s="32"/>
      <c r="N653" s="11"/>
      <c r="O653" s="11"/>
      <c r="P653" s="54"/>
      <c r="Q653" s="39"/>
      <c r="R653" s="39"/>
      <c r="U653" s="41"/>
    </row>
    <row r="654" spans="1:21" s="40" customFormat="1" ht="16.8" customHeight="1">
      <c r="A654" s="33" t="str">
        <f>IF(H654&lt;&gt;"",1+MAX($A$5:A653),"")</f>
        <v/>
      </c>
      <c r="B654" s="79"/>
      <c r="C654" s="69"/>
      <c r="D654" s="94" t="s">
        <v>407</v>
      </c>
      <c r="E654" s="35"/>
      <c r="F654" s="36"/>
      <c r="G654" s="37"/>
      <c r="H654" s="38"/>
      <c r="I654" s="19"/>
      <c r="J654" s="19"/>
      <c r="K654" s="31"/>
      <c r="L654" s="19"/>
      <c r="M654" s="32"/>
      <c r="N654" s="11"/>
      <c r="O654" s="11"/>
      <c r="P654" s="54"/>
      <c r="Q654" s="39"/>
      <c r="R654" s="39"/>
      <c r="U654" s="41"/>
    </row>
    <row r="655" spans="1:21" s="40" customFormat="1" ht="16.8" customHeight="1">
      <c r="A655" s="33">
        <f>IF(H655&lt;&gt;"",1+MAX($A$5:A654),"")</f>
        <v>419</v>
      </c>
      <c r="B655" s="79"/>
      <c r="C655" s="69"/>
      <c r="D655" s="27" t="s">
        <v>425</v>
      </c>
      <c r="E655" s="35">
        <v>8</v>
      </c>
      <c r="F655" s="36">
        <v>0</v>
      </c>
      <c r="G655" s="37">
        <f t="shared" ref="G655:G674" si="470">(1+F655)*E655</f>
        <v>8</v>
      </c>
      <c r="H655" s="38" t="s">
        <v>3</v>
      </c>
      <c r="I655" s="19">
        <v>42.542000000000002</v>
      </c>
      <c r="J655" s="19">
        <f t="shared" ref="J655:J673" si="471">G655*I655</f>
        <v>340.33600000000001</v>
      </c>
      <c r="K655" s="31">
        <v>0.16</v>
      </c>
      <c r="L655" s="19">
        <f t="shared" ref="L655:L674" si="472">$O$626</f>
        <v>50</v>
      </c>
      <c r="M655" s="32">
        <f t="shared" ref="M655:M674" si="473">K655*G655</f>
        <v>1.28</v>
      </c>
      <c r="N655" s="11">
        <f t="shared" ref="N655:N674" si="474">M655*L655</f>
        <v>64</v>
      </c>
      <c r="O655" s="11">
        <f t="shared" ref="O655:O674" si="475">N655+J655</f>
        <v>404.33600000000001</v>
      </c>
      <c r="P655" s="54"/>
      <c r="Q655" s="39"/>
      <c r="R655" s="39"/>
      <c r="U655" s="41"/>
    </row>
    <row r="656" spans="1:21" s="40" customFormat="1" ht="16.8" customHeight="1">
      <c r="A656" s="33">
        <f>IF(H656&lt;&gt;"",1+MAX($A$5:A655),"")</f>
        <v>420</v>
      </c>
      <c r="B656" s="79"/>
      <c r="C656" s="69"/>
      <c r="D656" s="27" t="s">
        <v>426</v>
      </c>
      <c r="E656" s="35">
        <v>4</v>
      </c>
      <c r="F656" s="36">
        <v>0</v>
      </c>
      <c r="G656" s="37">
        <f t="shared" si="470"/>
        <v>4</v>
      </c>
      <c r="H656" s="38" t="s">
        <v>3</v>
      </c>
      <c r="I656" s="19">
        <v>65.486000000000004</v>
      </c>
      <c r="J656" s="19">
        <f t="shared" si="471"/>
        <v>261.94400000000002</v>
      </c>
      <c r="K656" s="31">
        <v>0.24199999999999999</v>
      </c>
      <c r="L656" s="19">
        <f t="shared" si="472"/>
        <v>50</v>
      </c>
      <c r="M656" s="32">
        <f t="shared" si="473"/>
        <v>0.96799999999999997</v>
      </c>
      <c r="N656" s="11">
        <f t="shared" si="474"/>
        <v>48.4</v>
      </c>
      <c r="O656" s="11">
        <f t="shared" si="475"/>
        <v>310.34399999999999</v>
      </c>
      <c r="P656" s="54"/>
      <c r="Q656" s="39"/>
      <c r="R656" s="39"/>
      <c r="U656" s="41"/>
    </row>
    <row r="657" spans="1:21" s="40" customFormat="1" ht="16.8" customHeight="1">
      <c r="A657" s="33">
        <f>IF(H657&lt;&gt;"",1+MAX($A$5:A656),"")</f>
        <v>421</v>
      </c>
      <c r="B657" s="79"/>
      <c r="C657" s="69"/>
      <c r="D657" s="27" t="s">
        <v>427</v>
      </c>
      <c r="E657" s="35">
        <v>1</v>
      </c>
      <c r="F657" s="36">
        <v>0</v>
      </c>
      <c r="G657" s="37">
        <f t="shared" si="470"/>
        <v>1</v>
      </c>
      <c r="H657" s="38" t="s">
        <v>3</v>
      </c>
      <c r="I657" s="19">
        <v>65.486000000000004</v>
      </c>
      <c r="J657" s="19">
        <f t="shared" si="471"/>
        <v>65.486000000000004</v>
      </c>
      <c r="K657" s="31">
        <v>0.24199999999999999</v>
      </c>
      <c r="L657" s="19">
        <f t="shared" si="472"/>
        <v>50</v>
      </c>
      <c r="M657" s="32">
        <f t="shared" si="473"/>
        <v>0.24199999999999999</v>
      </c>
      <c r="N657" s="11">
        <f t="shared" si="474"/>
        <v>12.1</v>
      </c>
      <c r="O657" s="11">
        <f t="shared" si="475"/>
        <v>77.585999999999999</v>
      </c>
      <c r="P657" s="54"/>
      <c r="Q657" s="39"/>
      <c r="R657" s="39"/>
      <c r="U657" s="41"/>
    </row>
    <row r="658" spans="1:21" s="40" customFormat="1" ht="16.8" customHeight="1">
      <c r="A658" s="33">
        <f>IF(H658&lt;&gt;"",1+MAX($A$5:A657),"")</f>
        <v>422</v>
      </c>
      <c r="B658" s="79"/>
      <c r="C658" s="69"/>
      <c r="D658" s="27" t="s">
        <v>428</v>
      </c>
      <c r="E658" s="35">
        <v>2</v>
      </c>
      <c r="F658" s="36">
        <v>0</v>
      </c>
      <c r="G658" s="37">
        <f t="shared" si="470"/>
        <v>2</v>
      </c>
      <c r="H658" s="38" t="s">
        <v>3</v>
      </c>
      <c r="I658" s="19">
        <v>66.92</v>
      </c>
      <c r="J658" s="19">
        <f t="shared" si="471"/>
        <v>133.84</v>
      </c>
      <c r="K658" s="31">
        <v>0.16</v>
      </c>
      <c r="L658" s="19">
        <f t="shared" si="472"/>
        <v>50</v>
      </c>
      <c r="M658" s="32">
        <f t="shared" si="473"/>
        <v>0.32</v>
      </c>
      <c r="N658" s="11">
        <f t="shared" si="474"/>
        <v>16</v>
      </c>
      <c r="O658" s="11">
        <f t="shared" si="475"/>
        <v>149.84</v>
      </c>
      <c r="P658" s="54"/>
      <c r="Q658" s="39"/>
      <c r="R658" s="39"/>
      <c r="U658" s="41"/>
    </row>
    <row r="659" spans="1:21" s="40" customFormat="1" ht="16.8" customHeight="1">
      <c r="A659" s="33">
        <f>IF(H659&lt;&gt;"",1+MAX($A$5:A658),"")</f>
        <v>423</v>
      </c>
      <c r="B659" s="79"/>
      <c r="C659" s="69"/>
      <c r="D659" s="27" t="s">
        <v>429</v>
      </c>
      <c r="E659" s="35">
        <v>2</v>
      </c>
      <c r="F659" s="36">
        <v>0</v>
      </c>
      <c r="G659" s="37">
        <f t="shared" si="470"/>
        <v>2</v>
      </c>
      <c r="H659" s="38" t="s">
        <v>3</v>
      </c>
      <c r="I659" s="19">
        <v>42.542000000000002</v>
      </c>
      <c r="J659" s="19">
        <f t="shared" si="471"/>
        <v>85.084000000000003</v>
      </c>
      <c r="K659" s="31">
        <v>0.24199999999999999</v>
      </c>
      <c r="L659" s="19">
        <f t="shared" si="472"/>
        <v>50</v>
      </c>
      <c r="M659" s="32">
        <f t="shared" si="473"/>
        <v>0.48399999999999999</v>
      </c>
      <c r="N659" s="11">
        <f t="shared" si="474"/>
        <v>24.2</v>
      </c>
      <c r="O659" s="11">
        <f t="shared" si="475"/>
        <v>109.28400000000001</v>
      </c>
      <c r="P659" s="54"/>
      <c r="Q659" s="39"/>
      <c r="R659" s="39"/>
      <c r="U659" s="41"/>
    </row>
    <row r="660" spans="1:21" s="40" customFormat="1" ht="16.8" customHeight="1">
      <c r="A660" s="33">
        <f>IF(H660&lt;&gt;"",1+MAX($A$5:A659),"")</f>
        <v>424</v>
      </c>
      <c r="B660" s="79"/>
      <c r="C660" s="69"/>
      <c r="D660" s="27" t="s">
        <v>430</v>
      </c>
      <c r="E660" s="35">
        <v>1</v>
      </c>
      <c r="F660" s="36">
        <v>0</v>
      </c>
      <c r="G660" s="37">
        <f t="shared" si="470"/>
        <v>1</v>
      </c>
      <c r="H660" s="38" t="s">
        <v>3</v>
      </c>
      <c r="I660" s="19">
        <v>65.486000000000004</v>
      </c>
      <c r="J660" s="19">
        <f t="shared" si="471"/>
        <v>65.486000000000004</v>
      </c>
      <c r="K660" s="31">
        <v>0.26400000000000001</v>
      </c>
      <c r="L660" s="19">
        <f t="shared" si="472"/>
        <v>50</v>
      </c>
      <c r="M660" s="32">
        <f t="shared" si="473"/>
        <v>0.26400000000000001</v>
      </c>
      <c r="N660" s="11">
        <f t="shared" si="474"/>
        <v>13.200000000000001</v>
      </c>
      <c r="O660" s="11">
        <f t="shared" si="475"/>
        <v>78.686000000000007</v>
      </c>
      <c r="P660" s="54"/>
      <c r="Q660" s="39"/>
      <c r="R660" s="39"/>
      <c r="U660" s="41"/>
    </row>
    <row r="661" spans="1:21" s="40" customFormat="1" ht="16.8" customHeight="1">
      <c r="A661" s="33">
        <f>IF(H661&lt;&gt;"",1+MAX($A$5:A660),"")</f>
        <v>425</v>
      </c>
      <c r="B661" s="79"/>
      <c r="C661" s="69"/>
      <c r="D661" s="27" t="s">
        <v>431</v>
      </c>
      <c r="E661" s="35">
        <v>1</v>
      </c>
      <c r="F661" s="36">
        <v>0</v>
      </c>
      <c r="G661" s="37">
        <f t="shared" si="470"/>
        <v>1</v>
      </c>
      <c r="H661" s="38" t="s">
        <v>3</v>
      </c>
      <c r="I661" s="19">
        <v>65.486000000000004</v>
      </c>
      <c r="J661" s="19">
        <f t="shared" si="471"/>
        <v>65.486000000000004</v>
      </c>
      <c r="K661" s="31">
        <v>0.26400000000000001</v>
      </c>
      <c r="L661" s="19">
        <f t="shared" si="472"/>
        <v>50</v>
      </c>
      <c r="M661" s="32">
        <f t="shared" si="473"/>
        <v>0.26400000000000001</v>
      </c>
      <c r="N661" s="11">
        <f t="shared" si="474"/>
        <v>13.200000000000001</v>
      </c>
      <c r="O661" s="11">
        <f t="shared" si="475"/>
        <v>78.686000000000007</v>
      </c>
      <c r="P661" s="54"/>
      <c r="Q661" s="39"/>
      <c r="R661" s="39"/>
      <c r="U661" s="41"/>
    </row>
    <row r="662" spans="1:21" s="40" customFormat="1" ht="16.8" customHeight="1">
      <c r="A662" s="33">
        <f>IF(H662&lt;&gt;"",1+MAX($A$5:A661),"")</f>
        <v>426</v>
      </c>
      <c r="B662" s="79"/>
      <c r="C662" s="69"/>
      <c r="D662" s="27" t="s">
        <v>432</v>
      </c>
      <c r="E662" s="35">
        <v>2</v>
      </c>
      <c r="F662" s="36">
        <v>0</v>
      </c>
      <c r="G662" s="37">
        <f t="shared" si="470"/>
        <v>2</v>
      </c>
      <c r="H662" s="38" t="s">
        <v>3</v>
      </c>
      <c r="I662" s="19">
        <v>42.542000000000002</v>
      </c>
      <c r="J662" s="19">
        <f t="shared" si="471"/>
        <v>85.084000000000003</v>
      </c>
      <c r="K662" s="31">
        <v>0.2</v>
      </c>
      <c r="L662" s="19">
        <f t="shared" si="472"/>
        <v>50</v>
      </c>
      <c r="M662" s="32">
        <f t="shared" si="473"/>
        <v>0.4</v>
      </c>
      <c r="N662" s="11">
        <f t="shared" si="474"/>
        <v>20</v>
      </c>
      <c r="O662" s="11">
        <f t="shared" si="475"/>
        <v>105.084</v>
      </c>
      <c r="P662" s="54"/>
      <c r="Q662" s="39"/>
      <c r="R662" s="39"/>
      <c r="U662" s="41"/>
    </row>
    <row r="663" spans="1:21" s="40" customFormat="1" ht="16.8" customHeight="1">
      <c r="A663" s="33">
        <f>IF(H663&lt;&gt;"",1+MAX($A$5:A662),"")</f>
        <v>427</v>
      </c>
      <c r="B663" s="79"/>
      <c r="C663" s="69"/>
      <c r="D663" s="27" t="s">
        <v>433</v>
      </c>
      <c r="E663" s="35">
        <v>2</v>
      </c>
      <c r="F663" s="36">
        <v>0</v>
      </c>
      <c r="G663" s="37">
        <f t="shared" si="470"/>
        <v>2</v>
      </c>
      <c r="H663" s="38" t="s">
        <v>3</v>
      </c>
      <c r="I663" s="19">
        <v>65.486000000000004</v>
      </c>
      <c r="J663" s="19">
        <f t="shared" si="471"/>
        <v>130.97200000000001</v>
      </c>
      <c r="K663" s="31">
        <v>0.29599999999999999</v>
      </c>
      <c r="L663" s="19">
        <f t="shared" si="472"/>
        <v>50</v>
      </c>
      <c r="M663" s="32">
        <f t="shared" si="473"/>
        <v>0.59199999999999997</v>
      </c>
      <c r="N663" s="11">
        <f t="shared" si="474"/>
        <v>29.599999999999998</v>
      </c>
      <c r="O663" s="11">
        <f t="shared" si="475"/>
        <v>160.572</v>
      </c>
      <c r="P663" s="54"/>
      <c r="Q663" s="39"/>
      <c r="R663" s="39"/>
      <c r="U663" s="41"/>
    </row>
    <row r="664" spans="1:21" s="40" customFormat="1" ht="16.8" customHeight="1">
      <c r="A664" s="33">
        <f>IF(H664&lt;&gt;"",1+MAX($A$5:A663),"")</f>
        <v>428</v>
      </c>
      <c r="B664" s="79"/>
      <c r="C664" s="69"/>
      <c r="D664" s="27" t="s">
        <v>434</v>
      </c>
      <c r="E664" s="35">
        <v>1</v>
      </c>
      <c r="F664" s="36">
        <v>0</v>
      </c>
      <c r="G664" s="37">
        <f t="shared" si="470"/>
        <v>1</v>
      </c>
      <c r="H664" s="38" t="s">
        <v>3</v>
      </c>
      <c r="I664" s="19">
        <v>65.486000000000004</v>
      </c>
      <c r="J664" s="19">
        <f t="shared" si="471"/>
        <v>65.486000000000004</v>
      </c>
      <c r="K664" s="31">
        <v>0.29599999999999999</v>
      </c>
      <c r="L664" s="19">
        <f t="shared" si="472"/>
        <v>50</v>
      </c>
      <c r="M664" s="32">
        <f t="shared" si="473"/>
        <v>0.29599999999999999</v>
      </c>
      <c r="N664" s="11">
        <f t="shared" si="474"/>
        <v>14.799999999999999</v>
      </c>
      <c r="O664" s="11">
        <f t="shared" si="475"/>
        <v>80.286000000000001</v>
      </c>
      <c r="P664" s="54"/>
      <c r="Q664" s="39"/>
      <c r="R664" s="39"/>
      <c r="U664" s="41"/>
    </row>
    <row r="665" spans="1:21" s="40" customFormat="1" ht="16.8" customHeight="1">
      <c r="A665" s="33">
        <f>IF(H665&lt;&gt;"",1+MAX($A$5:A664),"")</f>
        <v>429</v>
      </c>
      <c r="B665" s="79"/>
      <c r="C665" s="69"/>
      <c r="D665" s="27" t="s">
        <v>414</v>
      </c>
      <c r="E665" s="35">
        <v>4</v>
      </c>
      <c r="F665" s="36">
        <v>0</v>
      </c>
      <c r="G665" s="37">
        <f t="shared" si="470"/>
        <v>4</v>
      </c>
      <c r="H665" s="38" t="s">
        <v>3</v>
      </c>
      <c r="I665" s="19">
        <v>42.542000000000002</v>
      </c>
      <c r="J665" s="19">
        <f t="shared" si="471"/>
        <v>170.16800000000001</v>
      </c>
      <c r="K665" s="31">
        <v>0.32</v>
      </c>
      <c r="L665" s="19">
        <f t="shared" si="472"/>
        <v>50</v>
      </c>
      <c r="M665" s="32">
        <f t="shared" si="473"/>
        <v>1.28</v>
      </c>
      <c r="N665" s="11">
        <f t="shared" si="474"/>
        <v>64</v>
      </c>
      <c r="O665" s="11">
        <f t="shared" si="475"/>
        <v>234.16800000000001</v>
      </c>
      <c r="P665" s="54"/>
      <c r="Q665" s="39"/>
      <c r="R665" s="39"/>
      <c r="U665" s="41"/>
    </row>
    <row r="666" spans="1:21" s="40" customFormat="1" ht="16.8" customHeight="1">
      <c r="A666" s="33">
        <f>IF(H666&lt;&gt;"",1+MAX($A$5:A665),"")</f>
        <v>430</v>
      </c>
      <c r="B666" s="79"/>
      <c r="C666" s="69"/>
      <c r="D666" s="27" t="s">
        <v>416</v>
      </c>
      <c r="E666" s="35">
        <v>3</v>
      </c>
      <c r="F666" s="36">
        <v>0</v>
      </c>
      <c r="G666" s="37">
        <f t="shared" si="470"/>
        <v>3</v>
      </c>
      <c r="H666" s="38" t="s">
        <v>3</v>
      </c>
      <c r="I666" s="19">
        <v>65.486000000000004</v>
      </c>
      <c r="J666" s="19">
        <f t="shared" si="471"/>
        <v>196.45800000000003</v>
      </c>
      <c r="K666" s="31">
        <v>0.47099999999999997</v>
      </c>
      <c r="L666" s="19">
        <f t="shared" si="472"/>
        <v>50</v>
      </c>
      <c r="M666" s="32">
        <f t="shared" si="473"/>
        <v>1.4129999999999998</v>
      </c>
      <c r="N666" s="11">
        <f t="shared" si="474"/>
        <v>70.649999999999991</v>
      </c>
      <c r="O666" s="11">
        <f t="shared" si="475"/>
        <v>267.108</v>
      </c>
      <c r="P666" s="54"/>
      <c r="Q666" s="39"/>
      <c r="R666" s="39"/>
      <c r="U666" s="41"/>
    </row>
    <row r="667" spans="1:21" s="40" customFormat="1" ht="16.8" customHeight="1">
      <c r="A667" s="33">
        <f>IF(H667&lt;&gt;"",1+MAX($A$5:A666),"")</f>
        <v>431</v>
      </c>
      <c r="B667" s="79"/>
      <c r="C667" s="69"/>
      <c r="D667" s="27" t="s">
        <v>435</v>
      </c>
      <c r="E667" s="35">
        <v>1</v>
      </c>
      <c r="F667" s="36">
        <v>0</v>
      </c>
      <c r="G667" s="37">
        <f t="shared" si="470"/>
        <v>1</v>
      </c>
      <c r="H667" s="38" t="s">
        <v>3</v>
      </c>
      <c r="I667" s="19">
        <v>65.486000000000004</v>
      </c>
      <c r="J667" s="19">
        <f t="shared" si="471"/>
        <v>65.486000000000004</v>
      </c>
      <c r="K667" s="31">
        <v>0.47099999999999997</v>
      </c>
      <c r="L667" s="19">
        <f t="shared" si="472"/>
        <v>50</v>
      </c>
      <c r="M667" s="32">
        <f t="shared" si="473"/>
        <v>0.47099999999999997</v>
      </c>
      <c r="N667" s="11">
        <f t="shared" si="474"/>
        <v>23.549999999999997</v>
      </c>
      <c r="O667" s="11">
        <f t="shared" si="475"/>
        <v>89.036000000000001</v>
      </c>
      <c r="P667" s="54"/>
      <c r="Q667" s="39"/>
      <c r="R667" s="39"/>
      <c r="U667" s="41"/>
    </row>
    <row r="668" spans="1:21" s="40" customFormat="1" ht="16.8" customHeight="1">
      <c r="A668" s="33">
        <f>IF(H668&lt;&gt;"",1+MAX($A$5:A667),"")</f>
        <v>432</v>
      </c>
      <c r="B668" s="79"/>
      <c r="C668" s="69"/>
      <c r="D668" s="27" t="s">
        <v>436</v>
      </c>
      <c r="E668" s="35">
        <v>1</v>
      </c>
      <c r="F668" s="36">
        <v>0</v>
      </c>
      <c r="G668" s="37">
        <f t="shared" si="470"/>
        <v>1</v>
      </c>
      <c r="H668" s="38" t="s">
        <v>3</v>
      </c>
      <c r="I668" s="19">
        <v>65.486000000000004</v>
      </c>
      <c r="J668" s="19">
        <f t="shared" si="471"/>
        <v>65.486000000000004</v>
      </c>
      <c r="K668" s="31">
        <v>0.47099999999999997</v>
      </c>
      <c r="L668" s="19">
        <f t="shared" si="472"/>
        <v>50</v>
      </c>
      <c r="M668" s="32">
        <f t="shared" si="473"/>
        <v>0.47099999999999997</v>
      </c>
      <c r="N668" s="11">
        <f t="shared" si="474"/>
        <v>23.549999999999997</v>
      </c>
      <c r="O668" s="11">
        <f t="shared" si="475"/>
        <v>89.036000000000001</v>
      </c>
      <c r="P668" s="54"/>
      <c r="Q668" s="39"/>
      <c r="R668" s="39"/>
      <c r="U668" s="41"/>
    </row>
    <row r="669" spans="1:21" s="40" customFormat="1" ht="16.8" customHeight="1">
      <c r="A669" s="33">
        <f>IF(H669&lt;&gt;"",1+MAX($A$5:A668),"")</f>
        <v>433</v>
      </c>
      <c r="B669" s="79"/>
      <c r="C669" s="69"/>
      <c r="D669" s="27" t="s">
        <v>437</v>
      </c>
      <c r="E669" s="35">
        <v>1</v>
      </c>
      <c r="F669" s="36">
        <v>0</v>
      </c>
      <c r="G669" s="37">
        <f t="shared" si="470"/>
        <v>1</v>
      </c>
      <c r="H669" s="38" t="s">
        <v>3</v>
      </c>
      <c r="I669" s="19">
        <v>65.486000000000004</v>
      </c>
      <c r="J669" s="19">
        <f t="shared" si="471"/>
        <v>65.486000000000004</v>
      </c>
      <c r="K669" s="31">
        <v>0.47099999999999997</v>
      </c>
      <c r="L669" s="19">
        <f t="shared" si="472"/>
        <v>50</v>
      </c>
      <c r="M669" s="32">
        <f t="shared" si="473"/>
        <v>0.47099999999999997</v>
      </c>
      <c r="N669" s="11">
        <f t="shared" si="474"/>
        <v>23.549999999999997</v>
      </c>
      <c r="O669" s="11">
        <f t="shared" si="475"/>
        <v>89.036000000000001</v>
      </c>
      <c r="P669" s="54"/>
      <c r="Q669" s="39"/>
      <c r="R669" s="39"/>
      <c r="U669" s="41"/>
    </row>
    <row r="670" spans="1:21" s="40" customFormat="1" ht="16.8" customHeight="1">
      <c r="A670" s="33">
        <f>IF(H670&lt;&gt;"",1+MAX($A$5:A669),"")</f>
        <v>434</v>
      </c>
      <c r="B670" s="79"/>
      <c r="C670" s="69"/>
      <c r="D670" s="27" t="s">
        <v>438</v>
      </c>
      <c r="E670" s="35">
        <v>1</v>
      </c>
      <c r="F670" s="36">
        <v>0</v>
      </c>
      <c r="G670" s="37">
        <f t="shared" si="470"/>
        <v>1</v>
      </c>
      <c r="H670" s="38" t="s">
        <v>3</v>
      </c>
      <c r="I670" s="19">
        <v>65.486000000000004</v>
      </c>
      <c r="J670" s="19">
        <f t="shared" si="471"/>
        <v>65.486000000000004</v>
      </c>
      <c r="K670" s="31">
        <v>0.47099999999999997</v>
      </c>
      <c r="L670" s="19">
        <f t="shared" si="472"/>
        <v>50</v>
      </c>
      <c r="M670" s="32">
        <f t="shared" si="473"/>
        <v>0.47099999999999997</v>
      </c>
      <c r="N670" s="11">
        <f t="shared" si="474"/>
        <v>23.549999999999997</v>
      </c>
      <c r="O670" s="11">
        <f t="shared" si="475"/>
        <v>89.036000000000001</v>
      </c>
      <c r="P670" s="54"/>
      <c r="Q670" s="39"/>
      <c r="R670" s="39"/>
      <c r="U670" s="41"/>
    </row>
    <row r="671" spans="1:21" s="40" customFormat="1" ht="16.8" customHeight="1">
      <c r="A671" s="33">
        <f>IF(H671&lt;&gt;"",1+MAX($A$5:A670),"")</f>
        <v>435</v>
      </c>
      <c r="B671" s="79"/>
      <c r="C671" s="69"/>
      <c r="D671" s="27" t="s">
        <v>439</v>
      </c>
      <c r="E671" s="35">
        <v>1</v>
      </c>
      <c r="F671" s="36">
        <v>0</v>
      </c>
      <c r="G671" s="37">
        <f t="shared" si="470"/>
        <v>1</v>
      </c>
      <c r="H671" s="38" t="s">
        <v>3</v>
      </c>
      <c r="I671" s="19">
        <v>65.486000000000004</v>
      </c>
      <c r="J671" s="19">
        <f t="shared" si="471"/>
        <v>65.486000000000004</v>
      </c>
      <c r="K671" s="31">
        <v>0.47099999999999997</v>
      </c>
      <c r="L671" s="19">
        <f t="shared" si="472"/>
        <v>50</v>
      </c>
      <c r="M671" s="32">
        <f t="shared" si="473"/>
        <v>0.47099999999999997</v>
      </c>
      <c r="N671" s="11">
        <f t="shared" si="474"/>
        <v>23.549999999999997</v>
      </c>
      <c r="O671" s="11">
        <f t="shared" si="475"/>
        <v>89.036000000000001</v>
      </c>
      <c r="P671" s="54"/>
      <c r="Q671" s="39"/>
      <c r="R671" s="39"/>
      <c r="U671" s="41"/>
    </row>
    <row r="672" spans="1:21" s="40" customFormat="1" ht="16.8" customHeight="1">
      <c r="A672" s="33">
        <f>IF(H672&lt;&gt;"",1+MAX($A$5:A671),"")</f>
        <v>436</v>
      </c>
      <c r="B672" s="79"/>
      <c r="C672" s="69"/>
      <c r="D672" s="27" t="s">
        <v>440</v>
      </c>
      <c r="E672" s="35">
        <v>1</v>
      </c>
      <c r="F672" s="36">
        <v>0</v>
      </c>
      <c r="G672" s="37">
        <f t="shared" si="470"/>
        <v>1</v>
      </c>
      <c r="H672" s="38" t="s">
        <v>3</v>
      </c>
      <c r="I672" s="19">
        <v>42.542000000000002</v>
      </c>
      <c r="J672" s="19">
        <f t="shared" si="471"/>
        <v>42.542000000000002</v>
      </c>
      <c r="K672" s="31">
        <v>0.4</v>
      </c>
      <c r="L672" s="19">
        <f t="shared" si="472"/>
        <v>50</v>
      </c>
      <c r="M672" s="32">
        <f t="shared" si="473"/>
        <v>0.4</v>
      </c>
      <c r="N672" s="11">
        <f t="shared" si="474"/>
        <v>20</v>
      </c>
      <c r="O672" s="11">
        <f t="shared" si="475"/>
        <v>62.542000000000002</v>
      </c>
      <c r="P672" s="54"/>
      <c r="Q672" s="39"/>
      <c r="R672" s="39"/>
      <c r="U672" s="41"/>
    </row>
    <row r="673" spans="1:21" s="40" customFormat="1" ht="16.8" customHeight="1">
      <c r="A673" s="33">
        <f>IF(H673&lt;&gt;"",1+MAX($A$5:A672),"")</f>
        <v>437</v>
      </c>
      <c r="B673" s="79"/>
      <c r="C673" s="69"/>
      <c r="D673" s="27" t="s">
        <v>441</v>
      </c>
      <c r="E673" s="35">
        <v>3</v>
      </c>
      <c r="F673" s="36">
        <v>0</v>
      </c>
      <c r="G673" s="37">
        <f t="shared" si="470"/>
        <v>3</v>
      </c>
      <c r="H673" s="38" t="s">
        <v>3</v>
      </c>
      <c r="I673" s="19">
        <v>78.86999999999999</v>
      </c>
      <c r="J673" s="19">
        <f t="shared" si="471"/>
        <v>236.60999999999996</v>
      </c>
      <c r="K673" s="31">
        <v>0.16</v>
      </c>
      <c r="L673" s="19">
        <f t="shared" si="472"/>
        <v>50</v>
      </c>
      <c r="M673" s="32">
        <f t="shared" si="473"/>
        <v>0.48</v>
      </c>
      <c r="N673" s="11">
        <f t="shared" si="474"/>
        <v>24</v>
      </c>
      <c r="O673" s="11">
        <f t="shared" si="475"/>
        <v>260.60999999999996</v>
      </c>
      <c r="P673" s="54"/>
      <c r="Q673" s="39"/>
      <c r="R673" s="39"/>
      <c r="U673" s="41"/>
    </row>
    <row r="674" spans="1:21" s="40" customFormat="1" ht="16.8" customHeight="1">
      <c r="A674" s="33">
        <f>IF(H674&lt;&gt;"",1+MAX($A$5:A673),"")</f>
        <v>438</v>
      </c>
      <c r="B674" s="79"/>
      <c r="C674" s="69"/>
      <c r="D674" s="27" t="s">
        <v>442</v>
      </c>
      <c r="E674" s="35">
        <v>2</v>
      </c>
      <c r="F674" s="36">
        <v>0</v>
      </c>
      <c r="G674" s="37">
        <f t="shared" si="470"/>
        <v>2</v>
      </c>
      <c r="H674" s="38" t="s">
        <v>3</v>
      </c>
      <c r="I674" s="19">
        <v>84.605999999999995</v>
      </c>
      <c r="J674" s="19">
        <f>G674*I674</f>
        <v>169.21199999999999</v>
      </c>
      <c r="K674" s="31">
        <v>0.21099999999999999</v>
      </c>
      <c r="L674" s="19">
        <f t="shared" si="472"/>
        <v>50</v>
      </c>
      <c r="M674" s="32">
        <f t="shared" si="473"/>
        <v>0.42199999999999999</v>
      </c>
      <c r="N674" s="11">
        <f t="shared" si="474"/>
        <v>21.099999999999998</v>
      </c>
      <c r="O674" s="11">
        <f t="shared" si="475"/>
        <v>190.31199999999998</v>
      </c>
      <c r="P674" s="54"/>
      <c r="Q674" s="39"/>
      <c r="R674" s="39"/>
      <c r="U674" s="41"/>
    </row>
    <row r="675" spans="1:21" s="40" customFormat="1" ht="16.8" customHeight="1">
      <c r="A675" s="33" t="str">
        <f>IF(H675&lt;&gt;"",1+MAX($A$5:A674),"")</f>
        <v/>
      </c>
      <c r="B675" s="79"/>
      <c r="C675" s="69"/>
      <c r="D675" s="27" t="s">
        <v>96</v>
      </c>
      <c r="E675" s="35"/>
      <c r="F675" s="36"/>
      <c r="G675" s="37"/>
      <c r="H675" s="38"/>
      <c r="I675" s="19"/>
      <c r="J675" s="19"/>
      <c r="K675" s="31"/>
      <c r="L675" s="19"/>
      <c r="M675" s="32"/>
      <c r="N675" s="11"/>
      <c r="O675" s="11"/>
      <c r="P675" s="54"/>
      <c r="Q675" s="39"/>
      <c r="R675" s="39"/>
      <c r="U675" s="41"/>
    </row>
    <row r="676" spans="1:21" s="40" customFormat="1" ht="16.8" customHeight="1">
      <c r="A676" s="33" t="str">
        <f>IF(H676&lt;&gt;"",1+MAX($A$5:A675),"")</f>
        <v/>
      </c>
      <c r="B676" s="79"/>
      <c r="C676" s="69"/>
      <c r="D676" s="114" t="s">
        <v>443</v>
      </c>
      <c r="E676" s="35"/>
      <c r="F676" s="36"/>
      <c r="G676" s="37"/>
      <c r="H676" s="38"/>
      <c r="I676" s="19"/>
      <c r="J676" s="19"/>
      <c r="K676" s="31"/>
      <c r="L676" s="19"/>
      <c r="M676" s="32"/>
      <c r="N676" s="11"/>
      <c r="O676" s="11"/>
      <c r="P676" s="54"/>
      <c r="Q676" s="39"/>
      <c r="R676" s="39"/>
      <c r="U676" s="41"/>
    </row>
    <row r="677" spans="1:21" s="40" customFormat="1" ht="16.8" customHeight="1">
      <c r="A677" s="33" t="str">
        <f>IF(H677&lt;&gt;"",1+MAX($A$5:A676),"")</f>
        <v/>
      </c>
      <c r="B677" s="79"/>
      <c r="C677" s="69"/>
      <c r="D677" s="94" t="s">
        <v>403</v>
      </c>
      <c r="E677" s="35"/>
      <c r="F677" s="36"/>
      <c r="G677" s="37"/>
      <c r="H677" s="38"/>
      <c r="I677" s="19"/>
      <c r="J677" s="19"/>
      <c r="K677" s="31"/>
      <c r="L677" s="19"/>
      <c r="M677" s="32"/>
      <c r="N677" s="11"/>
      <c r="O677" s="11"/>
      <c r="P677" s="54"/>
      <c r="Q677" s="39"/>
      <c r="R677" s="39"/>
      <c r="U677" s="41"/>
    </row>
    <row r="678" spans="1:21" s="40" customFormat="1" ht="16.8" customHeight="1">
      <c r="A678" s="33">
        <f>IF(H678&lt;&gt;"",1+MAX($A$5:A677),"")</f>
        <v>439</v>
      </c>
      <c r="B678" s="79"/>
      <c r="C678" s="69"/>
      <c r="D678" s="27" t="s">
        <v>444</v>
      </c>
      <c r="E678" s="35">
        <v>2</v>
      </c>
      <c r="F678" s="36">
        <v>0</v>
      </c>
      <c r="G678" s="37">
        <f>(1+F678)*E678</f>
        <v>2</v>
      </c>
      <c r="H678" s="38" t="s">
        <v>3</v>
      </c>
      <c r="I678" s="19">
        <v>200.76</v>
      </c>
      <c r="J678" s="19">
        <f t="shared" ref="J678" si="476">G678*I678</f>
        <v>401.52</v>
      </c>
      <c r="K678" s="31">
        <v>0.4</v>
      </c>
      <c r="L678" s="19">
        <f t="shared" ref="L678" si="477">$O$626</f>
        <v>50</v>
      </c>
      <c r="M678" s="32">
        <f t="shared" ref="M678" si="478">K678*G678</f>
        <v>0.8</v>
      </c>
      <c r="N678" s="11">
        <f t="shared" ref="N678" si="479">M678*L678</f>
        <v>40</v>
      </c>
      <c r="O678" s="11">
        <f t="shared" ref="O678" si="480">N678+J678</f>
        <v>441.52</v>
      </c>
      <c r="P678" s="54"/>
      <c r="Q678" s="39"/>
      <c r="R678" s="39"/>
      <c r="U678" s="41"/>
    </row>
    <row r="679" spans="1:21" s="40" customFormat="1" ht="16.8" customHeight="1">
      <c r="A679" s="33" t="str">
        <f>IF(H679&lt;&gt;"",1+MAX($A$5:A678),"")</f>
        <v/>
      </c>
      <c r="B679" s="79"/>
      <c r="C679" s="69"/>
      <c r="D679" s="27" t="s">
        <v>96</v>
      </c>
      <c r="E679" s="35"/>
      <c r="F679" s="36"/>
      <c r="G679" s="37"/>
      <c r="H679" s="38"/>
      <c r="I679" s="19"/>
      <c r="J679" s="19"/>
      <c r="K679" s="31"/>
      <c r="L679" s="19"/>
      <c r="M679" s="32"/>
      <c r="N679" s="11"/>
      <c r="O679" s="11"/>
      <c r="P679" s="54"/>
      <c r="Q679" s="39"/>
      <c r="R679" s="39"/>
      <c r="U679" s="41"/>
    </row>
    <row r="680" spans="1:21" s="40" customFormat="1" ht="16.8" customHeight="1">
      <c r="A680" s="33" t="str">
        <f>IF(H680&lt;&gt;"",1+MAX($A$5:A679),"")</f>
        <v/>
      </c>
      <c r="B680" s="79"/>
      <c r="C680" s="69"/>
      <c r="D680" s="94" t="s">
        <v>407</v>
      </c>
      <c r="E680" s="35"/>
      <c r="F680" s="36"/>
      <c r="G680" s="37"/>
      <c r="H680" s="38"/>
      <c r="I680" s="19"/>
      <c r="J680" s="19"/>
      <c r="K680" s="31"/>
      <c r="L680" s="19"/>
      <c r="M680" s="32"/>
      <c r="N680" s="11"/>
      <c r="O680" s="11"/>
      <c r="P680" s="54"/>
      <c r="Q680" s="39"/>
      <c r="R680" s="39"/>
      <c r="U680" s="41"/>
    </row>
    <row r="681" spans="1:21" s="40" customFormat="1" ht="16.8" customHeight="1">
      <c r="A681" s="33">
        <f>IF(H681&lt;&gt;"",1+MAX($A$5:A680),"")</f>
        <v>440</v>
      </c>
      <c r="B681" s="79"/>
      <c r="C681" s="69"/>
      <c r="D681" s="27" t="s">
        <v>445</v>
      </c>
      <c r="E681" s="35">
        <v>1</v>
      </c>
      <c r="F681" s="36">
        <v>0</v>
      </c>
      <c r="G681" s="37">
        <f t="shared" ref="G681:G686" si="481">(1+F681)*E681</f>
        <v>1</v>
      </c>
      <c r="H681" s="38" t="s">
        <v>3</v>
      </c>
      <c r="I681" s="19">
        <v>86.900400000000005</v>
      </c>
      <c r="J681" s="19">
        <f t="shared" ref="J681:J686" si="482">G681*I681</f>
        <v>86.900400000000005</v>
      </c>
      <c r="K681" s="31">
        <v>0.61499999999999999</v>
      </c>
      <c r="L681" s="19">
        <f t="shared" ref="L681:L686" si="483">$O$626</f>
        <v>50</v>
      </c>
      <c r="M681" s="32">
        <f t="shared" ref="M681:M686" si="484">K681*G681</f>
        <v>0.61499999999999999</v>
      </c>
      <c r="N681" s="11">
        <f t="shared" ref="N681:N686" si="485">M681*L681</f>
        <v>30.75</v>
      </c>
      <c r="O681" s="11">
        <f t="shared" ref="O681:O686" si="486">N681+J681</f>
        <v>117.6504</v>
      </c>
      <c r="P681" s="54"/>
      <c r="Q681" s="39"/>
      <c r="R681" s="39"/>
      <c r="U681" s="41"/>
    </row>
    <row r="682" spans="1:21" s="40" customFormat="1" ht="16.8" customHeight="1">
      <c r="A682" s="33">
        <f>IF(H682&lt;&gt;"",1+MAX($A$5:A681),"")</f>
        <v>441</v>
      </c>
      <c r="B682" s="79"/>
      <c r="C682" s="69"/>
      <c r="D682" s="27" t="s">
        <v>446</v>
      </c>
      <c r="E682" s="35">
        <v>2</v>
      </c>
      <c r="F682" s="36">
        <v>0</v>
      </c>
      <c r="G682" s="37">
        <f t="shared" si="481"/>
        <v>2</v>
      </c>
      <c r="H682" s="38" t="s">
        <v>3</v>
      </c>
      <c r="I682" s="19">
        <v>68.631240000000005</v>
      </c>
      <c r="J682" s="19">
        <f t="shared" si="482"/>
        <v>137.26248000000001</v>
      </c>
      <c r="K682" s="31">
        <v>0.53300000000000003</v>
      </c>
      <c r="L682" s="19">
        <f t="shared" si="483"/>
        <v>50</v>
      </c>
      <c r="M682" s="32">
        <f t="shared" si="484"/>
        <v>1.0660000000000001</v>
      </c>
      <c r="N682" s="11">
        <f t="shared" si="485"/>
        <v>53.300000000000004</v>
      </c>
      <c r="O682" s="11">
        <f t="shared" si="486"/>
        <v>190.56248000000002</v>
      </c>
      <c r="P682" s="54"/>
      <c r="Q682" s="39"/>
      <c r="R682" s="39"/>
      <c r="U682" s="41"/>
    </row>
    <row r="683" spans="1:21" s="40" customFormat="1" ht="16.8" customHeight="1">
      <c r="A683" s="33">
        <f>IF(H683&lt;&gt;"",1+MAX($A$5:A682),"")</f>
        <v>442</v>
      </c>
      <c r="B683" s="79"/>
      <c r="C683" s="69"/>
      <c r="D683" s="27" t="s">
        <v>447</v>
      </c>
      <c r="E683" s="35">
        <v>3</v>
      </c>
      <c r="F683" s="36">
        <v>0</v>
      </c>
      <c r="G683" s="37">
        <f t="shared" si="481"/>
        <v>3</v>
      </c>
      <c r="H683" s="38" t="s">
        <v>3</v>
      </c>
      <c r="I683" s="19">
        <v>57.273959999999995</v>
      </c>
      <c r="J683" s="19">
        <f t="shared" si="482"/>
        <v>171.82187999999999</v>
      </c>
      <c r="K683" s="31">
        <v>0.42099999999999999</v>
      </c>
      <c r="L683" s="19">
        <f t="shared" si="483"/>
        <v>50</v>
      </c>
      <c r="M683" s="32">
        <f t="shared" si="484"/>
        <v>1.2629999999999999</v>
      </c>
      <c r="N683" s="11">
        <f t="shared" si="485"/>
        <v>63.149999999999991</v>
      </c>
      <c r="O683" s="11">
        <f t="shared" si="486"/>
        <v>234.97188</v>
      </c>
      <c r="P683" s="54"/>
      <c r="Q683" s="39"/>
      <c r="R683" s="39"/>
      <c r="U683" s="41"/>
    </row>
    <row r="684" spans="1:21" s="40" customFormat="1" ht="16.8" customHeight="1">
      <c r="A684" s="33">
        <f>IF(H684&lt;&gt;"",1+MAX($A$5:A683),"")</f>
        <v>443</v>
      </c>
      <c r="B684" s="79"/>
      <c r="C684" s="69"/>
      <c r="D684" s="27" t="s">
        <v>448</v>
      </c>
      <c r="E684" s="35">
        <v>1</v>
      </c>
      <c r="F684" s="36">
        <v>0</v>
      </c>
      <c r="G684" s="37">
        <f t="shared" si="481"/>
        <v>1</v>
      </c>
      <c r="H684" s="38" t="s">
        <v>3</v>
      </c>
      <c r="I684" s="19">
        <v>21.232759999999999</v>
      </c>
      <c r="J684" s="19">
        <f t="shared" si="482"/>
        <v>21.232759999999999</v>
      </c>
      <c r="K684" s="31">
        <v>0.36399999999999999</v>
      </c>
      <c r="L684" s="19">
        <f t="shared" si="483"/>
        <v>50</v>
      </c>
      <c r="M684" s="32">
        <f t="shared" si="484"/>
        <v>0.36399999999999999</v>
      </c>
      <c r="N684" s="11">
        <f t="shared" si="485"/>
        <v>18.2</v>
      </c>
      <c r="O684" s="11">
        <f t="shared" si="486"/>
        <v>39.432760000000002</v>
      </c>
      <c r="P684" s="54"/>
      <c r="Q684" s="39"/>
      <c r="R684" s="39"/>
      <c r="U684" s="41"/>
    </row>
    <row r="685" spans="1:21" s="40" customFormat="1" ht="16.8" customHeight="1">
      <c r="A685" s="33">
        <f>IF(H685&lt;&gt;"",1+MAX($A$5:A684),"")</f>
        <v>444</v>
      </c>
      <c r="B685" s="79"/>
      <c r="C685" s="69"/>
      <c r="D685" s="27" t="s">
        <v>449</v>
      </c>
      <c r="E685" s="35">
        <v>1</v>
      </c>
      <c r="F685" s="36">
        <v>0</v>
      </c>
      <c r="G685" s="37">
        <f t="shared" si="481"/>
        <v>1</v>
      </c>
      <c r="H685" s="38" t="s">
        <v>3</v>
      </c>
      <c r="I685" s="19">
        <v>157.73999999999998</v>
      </c>
      <c r="J685" s="19">
        <f t="shared" si="482"/>
        <v>157.73999999999998</v>
      </c>
      <c r="K685" s="31">
        <v>1.143</v>
      </c>
      <c r="L685" s="19">
        <f t="shared" si="483"/>
        <v>50</v>
      </c>
      <c r="M685" s="32">
        <f t="shared" si="484"/>
        <v>1.143</v>
      </c>
      <c r="N685" s="11">
        <f t="shared" si="485"/>
        <v>57.15</v>
      </c>
      <c r="O685" s="11">
        <f t="shared" si="486"/>
        <v>214.89</v>
      </c>
      <c r="P685" s="54"/>
      <c r="Q685" s="39"/>
      <c r="R685" s="39"/>
      <c r="U685" s="41"/>
    </row>
    <row r="686" spans="1:21" s="40" customFormat="1" ht="16.8" customHeight="1">
      <c r="A686" s="33">
        <f>IF(H686&lt;&gt;"",1+MAX($A$5:A685),"")</f>
        <v>445</v>
      </c>
      <c r="B686" s="79"/>
      <c r="C686" s="69"/>
      <c r="D686" s="27" t="s">
        <v>450</v>
      </c>
      <c r="E686" s="35">
        <v>2</v>
      </c>
      <c r="F686" s="36">
        <v>0</v>
      </c>
      <c r="G686" s="37">
        <f t="shared" si="481"/>
        <v>2</v>
      </c>
      <c r="H686" s="38" t="s">
        <v>3</v>
      </c>
      <c r="I686" s="19">
        <v>34.568959999999997</v>
      </c>
      <c r="J686" s="19">
        <f t="shared" si="482"/>
        <v>69.137919999999994</v>
      </c>
      <c r="K686" s="31">
        <v>0.4</v>
      </c>
      <c r="L686" s="19">
        <f t="shared" si="483"/>
        <v>50</v>
      </c>
      <c r="M686" s="32">
        <f t="shared" si="484"/>
        <v>0.8</v>
      </c>
      <c r="N686" s="11">
        <f t="shared" si="485"/>
        <v>40</v>
      </c>
      <c r="O686" s="11">
        <f t="shared" si="486"/>
        <v>109.13791999999999</v>
      </c>
      <c r="P686" s="54"/>
      <c r="Q686" s="39"/>
      <c r="R686" s="39"/>
      <c r="U686" s="41"/>
    </row>
    <row r="687" spans="1:21" s="40" customFormat="1" ht="16.8" customHeight="1">
      <c r="A687" s="33" t="str">
        <f>IF(H687&lt;&gt;"",1+MAX($A$5:A686),"")</f>
        <v/>
      </c>
      <c r="B687" s="79"/>
      <c r="C687" s="69"/>
      <c r="D687" s="27" t="s">
        <v>96</v>
      </c>
      <c r="E687" s="35"/>
      <c r="F687" s="36"/>
      <c r="G687" s="37"/>
      <c r="H687" s="38"/>
      <c r="I687" s="19"/>
      <c r="J687" s="19"/>
      <c r="K687" s="31"/>
      <c r="L687" s="19"/>
      <c r="M687" s="32"/>
      <c r="N687" s="11"/>
      <c r="O687" s="11"/>
      <c r="P687" s="54"/>
      <c r="Q687" s="39"/>
      <c r="R687" s="39"/>
      <c r="U687" s="41"/>
    </row>
    <row r="688" spans="1:21" s="40" customFormat="1" ht="16.8" customHeight="1">
      <c r="A688" s="33" t="str">
        <f>IF(H688&lt;&gt;"",1+MAX($A$5:A687),"")</f>
        <v/>
      </c>
      <c r="B688" s="79"/>
      <c r="C688" s="69"/>
      <c r="D688" s="114" t="s">
        <v>451</v>
      </c>
      <c r="E688" s="35"/>
      <c r="F688" s="36"/>
      <c r="G688" s="37"/>
      <c r="H688" s="38"/>
      <c r="I688" s="19"/>
      <c r="J688" s="19"/>
      <c r="K688" s="31"/>
      <c r="L688" s="19"/>
      <c r="M688" s="32"/>
      <c r="N688" s="11"/>
      <c r="O688" s="11"/>
      <c r="P688" s="54"/>
      <c r="Q688" s="39"/>
      <c r="R688" s="39"/>
      <c r="U688" s="41"/>
    </row>
    <row r="689" spans="1:21" s="40" customFormat="1" ht="16.8" customHeight="1">
      <c r="A689" s="33">
        <f>IF(H689&lt;&gt;"",1+MAX($A$5:A688),"")</f>
        <v>446</v>
      </c>
      <c r="B689" s="79"/>
      <c r="C689" s="69"/>
      <c r="D689" s="27" t="s">
        <v>81</v>
      </c>
      <c r="E689" s="35">
        <v>1</v>
      </c>
      <c r="F689" s="36">
        <v>0</v>
      </c>
      <c r="G689" s="37">
        <f>(1+F689)*E689</f>
        <v>1</v>
      </c>
      <c r="H689" s="38" t="s">
        <v>3</v>
      </c>
      <c r="I689" s="19">
        <v>430.2</v>
      </c>
      <c r="J689" s="19">
        <f>G689*I689</f>
        <v>430.2</v>
      </c>
      <c r="K689" s="31">
        <v>1.8</v>
      </c>
      <c r="L689" s="19">
        <f t="shared" ref="L689:L690" si="487">$O$626</f>
        <v>50</v>
      </c>
      <c r="M689" s="32">
        <f t="shared" ref="M689:M690" si="488">K689*G689</f>
        <v>1.8</v>
      </c>
      <c r="N689" s="11">
        <f t="shared" ref="N689:N690" si="489">M689*L689</f>
        <v>90</v>
      </c>
      <c r="O689" s="11">
        <f t="shared" ref="O689:O690" si="490">N689+J689</f>
        <v>520.20000000000005</v>
      </c>
      <c r="P689" s="54"/>
      <c r="Q689" s="39"/>
      <c r="R689" s="39"/>
      <c r="U689" s="41"/>
    </row>
    <row r="690" spans="1:21" s="40" customFormat="1" ht="16.8" customHeight="1">
      <c r="A690" s="33">
        <f>IF(H690&lt;&gt;"",1+MAX($A$5:A689),"")</f>
        <v>447</v>
      </c>
      <c r="B690" s="79"/>
      <c r="C690" s="69"/>
      <c r="D690" s="27" t="s">
        <v>452</v>
      </c>
      <c r="E690" s="35">
        <v>1</v>
      </c>
      <c r="F690" s="36">
        <v>0</v>
      </c>
      <c r="G690" s="37">
        <f>(1+F690)*E690</f>
        <v>1</v>
      </c>
      <c r="H690" s="38" t="s">
        <v>3</v>
      </c>
      <c r="I690" s="19">
        <v>655</v>
      </c>
      <c r="J690" s="19">
        <f>G690*I690</f>
        <v>655</v>
      </c>
      <c r="K690" s="31">
        <v>2</v>
      </c>
      <c r="L690" s="19">
        <f t="shared" si="487"/>
        <v>50</v>
      </c>
      <c r="M690" s="32">
        <f t="shared" si="488"/>
        <v>2</v>
      </c>
      <c r="N690" s="11">
        <f t="shared" si="489"/>
        <v>100</v>
      </c>
      <c r="O690" s="11">
        <f t="shared" si="490"/>
        <v>755</v>
      </c>
      <c r="P690" s="54"/>
      <c r="Q690" s="39"/>
      <c r="R690" s="39"/>
      <c r="U690" s="41"/>
    </row>
    <row r="691" spans="1:21" s="40" customFormat="1" ht="16.8" customHeight="1">
      <c r="A691" s="33" t="str">
        <f>IF(H691&lt;&gt;"",1+MAX($A$5:A690),"")</f>
        <v/>
      </c>
      <c r="B691" s="79"/>
      <c r="C691" s="69"/>
      <c r="D691" s="27" t="s">
        <v>96</v>
      </c>
      <c r="E691" s="35"/>
      <c r="F691" s="36"/>
      <c r="G691" s="37"/>
      <c r="H691" s="38"/>
      <c r="I691" s="19"/>
      <c r="J691" s="19"/>
      <c r="K691" s="31"/>
      <c r="L691" s="19"/>
      <c r="M691" s="32"/>
      <c r="N691" s="11"/>
      <c r="O691" s="11"/>
      <c r="P691" s="54"/>
      <c r="Q691" s="39"/>
      <c r="R691" s="39"/>
      <c r="U691" s="41"/>
    </row>
    <row r="692" spans="1:21" s="40" customFormat="1" ht="16.8" customHeight="1">
      <c r="A692" s="33" t="str">
        <f>IF(H692&lt;&gt;"",1+MAX($A$5:A691),"")</f>
        <v/>
      </c>
      <c r="B692" s="79"/>
      <c r="C692" s="69"/>
      <c r="D692" s="114" t="s">
        <v>453</v>
      </c>
      <c r="E692" s="35"/>
      <c r="F692" s="36"/>
      <c r="G692" s="37"/>
      <c r="H692" s="38"/>
      <c r="I692" s="19"/>
      <c r="J692" s="19"/>
      <c r="K692" s="31"/>
      <c r="L692" s="19"/>
      <c r="M692" s="32"/>
      <c r="N692" s="11"/>
      <c r="O692" s="11"/>
      <c r="P692" s="54"/>
      <c r="Q692" s="39"/>
      <c r="R692" s="39"/>
      <c r="U692" s="41"/>
    </row>
    <row r="693" spans="1:21" s="40" customFormat="1" ht="16.8" customHeight="1">
      <c r="A693" s="33">
        <f>IF(H693&lt;&gt;"",1+MAX($A$5:A692),"")</f>
        <v>448</v>
      </c>
      <c r="B693" s="79"/>
      <c r="C693" s="69"/>
      <c r="D693" s="27" t="s">
        <v>454</v>
      </c>
      <c r="E693" s="35">
        <v>6</v>
      </c>
      <c r="F693" s="36">
        <v>0</v>
      </c>
      <c r="G693" s="37">
        <f t="shared" ref="G693:G705" si="491">(1+F693)*E693</f>
        <v>6</v>
      </c>
      <c r="H693" s="38" t="s">
        <v>3</v>
      </c>
      <c r="I693" s="19">
        <v>76.47999999999999</v>
      </c>
      <c r="J693" s="19">
        <f>G693*I693</f>
        <v>458.87999999999994</v>
      </c>
      <c r="K693" s="31">
        <v>1</v>
      </c>
      <c r="L693" s="19">
        <f t="shared" ref="L693:L705" si="492">$O$626</f>
        <v>50</v>
      </c>
      <c r="M693" s="32">
        <f t="shared" ref="M693:M705" si="493">K693*G693</f>
        <v>6</v>
      </c>
      <c r="N693" s="11">
        <f t="shared" ref="N693:N705" si="494">M693*L693</f>
        <v>300</v>
      </c>
      <c r="O693" s="11">
        <f t="shared" ref="O693:O705" si="495">N693+J693</f>
        <v>758.87999999999988</v>
      </c>
      <c r="P693" s="54"/>
      <c r="Q693" s="39"/>
      <c r="R693" s="39"/>
      <c r="U693" s="41"/>
    </row>
    <row r="694" spans="1:21" s="40" customFormat="1" ht="16.8" customHeight="1">
      <c r="A694" s="33">
        <f>IF(H694&lt;&gt;"",1+MAX($A$5:A693),"")</f>
        <v>449</v>
      </c>
      <c r="B694" s="79"/>
      <c r="C694" s="69"/>
      <c r="D694" s="27" t="s">
        <v>455</v>
      </c>
      <c r="E694" s="35">
        <v>1</v>
      </c>
      <c r="F694" s="36">
        <v>0</v>
      </c>
      <c r="G694" s="37">
        <f t="shared" si="491"/>
        <v>1</v>
      </c>
      <c r="H694" s="38" t="s">
        <v>3</v>
      </c>
      <c r="I694" s="19">
        <v>175.904</v>
      </c>
      <c r="J694" s="19">
        <f t="shared" ref="J694:J705" si="496">G694*I694</f>
        <v>175.904</v>
      </c>
      <c r="K694" s="31">
        <v>1</v>
      </c>
      <c r="L694" s="19">
        <f t="shared" si="492"/>
        <v>50</v>
      </c>
      <c r="M694" s="32">
        <f t="shared" si="493"/>
        <v>1</v>
      </c>
      <c r="N694" s="11">
        <f t="shared" si="494"/>
        <v>50</v>
      </c>
      <c r="O694" s="11">
        <f t="shared" si="495"/>
        <v>225.904</v>
      </c>
      <c r="P694" s="54"/>
      <c r="Q694" s="39"/>
      <c r="R694" s="39"/>
      <c r="U694" s="41"/>
    </row>
    <row r="695" spans="1:21" s="40" customFormat="1" ht="16.8" customHeight="1">
      <c r="A695" s="33">
        <f>IF(H695&lt;&gt;"",1+MAX($A$5:A694),"")</f>
        <v>450</v>
      </c>
      <c r="B695" s="79"/>
      <c r="C695" s="69"/>
      <c r="D695" s="27" t="s">
        <v>456</v>
      </c>
      <c r="E695" s="35">
        <v>1</v>
      </c>
      <c r="F695" s="36">
        <v>0</v>
      </c>
      <c r="G695" s="37">
        <f t="shared" si="491"/>
        <v>1</v>
      </c>
      <c r="H695" s="38" t="s">
        <v>3</v>
      </c>
      <c r="I695" s="19">
        <v>3011.4</v>
      </c>
      <c r="J695" s="19">
        <f t="shared" si="496"/>
        <v>3011.4</v>
      </c>
      <c r="K695" s="31">
        <v>6</v>
      </c>
      <c r="L695" s="19">
        <f t="shared" si="492"/>
        <v>50</v>
      </c>
      <c r="M695" s="32">
        <f t="shared" si="493"/>
        <v>6</v>
      </c>
      <c r="N695" s="11">
        <f t="shared" si="494"/>
        <v>300</v>
      </c>
      <c r="O695" s="11">
        <f t="shared" si="495"/>
        <v>3311.4</v>
      </c>
      <c r="P695" s="54"/>
      <c r="Q695" s="39"/>
      <c r="R695" s="39"/>
      <c r="U695" s="41"/>
    </row>
    <row r="696" spans="1:21" s="40" customFormat="1" ht="16.8" customHeight="1">
      <c r="A696" s="33">
        <f>IF(H696&lt;&gt;"",1+MAX($A$5:A695),"")</f>
        <v>451</v>
      </c>
      <c r="B696" s="79"/>
      <c r="C696" s="69"/>
      <c r="D696" s="27" t="s">
        <v>457</v>
      </c>
      <c r="E696" s="35">
        <v>1</v>
      </c>
      <c r="F696" s="36">
        <v>0</v>
      </c>
      <c r="G696" s="37">
        <f t="shared" si="491"/>
        <v>1</v>
      </c>
      <c r="H696" s="38" t="s">
        <v>3</v>
      </c>
      <c r="I696" s="19">
        <v>511.46</v>
      </c>
      <c r="J696" s="19">
        <f t="shared" si="496"/>
        <v>511.46</v>
      </c>
      <c r="K696" s="31">
        <v>2.8570000000000002</v>
      </c>
      <c r="L696" s="19">
        <f t="shared" si="492"/>
        <v>50</v>
      </c>
      <c r="M696" s="32">
        <f t="shared" si="493"/>
        <v>2.8570000000000002</v>
      </c>
      <c r="N696" s="11">
        <f t="shared" si="494"/>
        <v>142.85000000000002</v>
      </c>
      <c r="O696" s="11">
        <f t="shared" si="495"/>
        <v>654.30999999999995</v>
      </c>
      <c r="P696" s="54"/>
      <c r="Q696" s="39"/>
      <c r="R696" s="39"/>
      <c r="U696" s="41"/>
    </row>
    <row r="697" spans="1:21" s="40" customFormat="1" ht="16.8" customHeight="1">
      <c r="A697" s="33">
        <f>IF(H697&lt;&gt;"",1+MAX($A$5:A696),"")</f>
        <v>452</v>
      </c>
      <c r="B697" s="79"/>
      <c r="C697" s="69"/>
      <c r="D697" s="27" t="s">
        <v>458</v>
      </c>
      <c r="E697" s="35">
        <v>2</v>
      </c>
      <c r="F697" s="36">
        <v>0</v>
      </c>
      <c r="G697" s="37">
        <f t="shared" si="491"/>
        <v>2</v>
      </c>
      <c r="H697" s="38" t="s">
        <v>3</v>
      </c>
      <c r="I697" s="19">
        <v>812.6</v>
      </c>
      <c r="J697" s="19">
        <f t="shared" si="496"/>
        <v>1625.2</v>
      </c>
      <c r="K697" s="31">
        <v>2</v>
      </c>
      <c r="L697" s="19">
        <f t="shared" si="492"/>
        <v>50</v>
      </c>
      <c r="M697" s="32">
        <f t="shared" si="493"/>
        <v>4</v>
      </c>
      <c r="N697" s="11">
        <f t="shared" si="494"/>
        <v>200</v>
      </c>
      <c r="O697" s="11">
        <f t="shared" si="495"/>
        <v>1825.2</v>
      </c>
      <c r="P697" s="54"/>
      <c r="Q697" s="39"/>
      <c r="R697" s="39"/>
      <c r="U697" s="41"/>
    </row>
    <row r="698" spans="1:21" s="40" customFormat="1" ht="16.8" customHeight="1">
      <c r="A698" s="33">
        <f>IF(H698&lt;&gt;"",1+MAX($A$5:A697),"")</f>
        <v>453</v>
      </c>
      <c r="B698" s="79"/>
      <c r="C698" s="69"/>
      <c r="D698" s="27" t="s">
        <v>60</v>
      </c>
      <c r="E698" s="35">
        <v>1</v>
      </c>
      <c r="F698" s="36">
        <v>0</v>
      </c>
      <c r="G698" s="37">
        <f t="shared" si="491"/>
        <v>1</v>
      </c>
      <c r="H698" s="38" t="s">
        <v>3</v>
      </c>
      <c r="I698" s="19">
        <v>511.46</v>
      </c>
      <c r="J698" s="19">
        <f t="shared" si="496"/>
        <v>511.46</v>
      </c>
      <c r="K698" s="31">
        <v>2.8570000000000002</v>
      </c>
      <c r="L698" s="19">
        <f t="shared" si="492"/>
        <v>50</v>
      </c>
      <c r="M698" s="32">
        <f t="shared" si="493"/>
        <v>2.8570000000000002</v>
      </c>
      <c r="N698" s="11">
        <f t="shared" si="494"/>
        <v>142.85000000000002</v>
      </c>
      <c r="O698" s="11">
        <f t="shared" si="495"/>
        <v>654.30999999999995</v>
      </c>
      <c r="P698" s="54"/>
      <c r="Q698" s="39"/>
      <c r="R698" s="39"/>
      <c r="U698" s="41"/>
    </row>
    <row r="699" spans="1:21" s="40" customFormat="1" ht="16.8" customHeight="1">
      <c r="A699" s="33">
        <f>IF(H699&lt;&gt;"",1+MAX($A$5:A698),"")</f>
        <v>454</v>
      </c>
      <c r="B699" s="79"/>
      <c r="C699" s="69"/>
      <c r="D699" s="27" t="s">
        <v>459</v>
      </c>
      <c r="E699" s="35">
        <v>1</v>
      </c>
      <c r="F699" s="36">
        <v>0</v>
      </c>
      <c r="G699" s="37">
        <f t="shared" si="491"/>
        <v>1</v>
      </c>
      <c r="H699" s="38" t="s">
        <v>3</v>
      </c>
      <c r="I699" s="19">
        <v>511.46</v>
      </c>
      <c r="J699" s="19">
        <f t="shared" si="496"/>
        <v>511.46</v>
      </c>
      <c r="K699" s="31">
        <v>2.8570000000000002</v>
      </c>
      <c r="L699" s="19">
        <f t="shared" si="492"/>
        <v>50</v>
      </c>
      <c r="M699" s="32">
        <f t="shared" si="493"/>
        <v>2.8570000000000002</v>
      </c>
      <c r="N699" s="11">
        <f t="shared" si="494"/>
        <v>142.85000000000002</v>
      </c>
      <c r="O699" s="11">
        <f t="shared" si="495"/>
        <v>654.30999999999995</v>
      </c>
      <c r="P699" s="54"/>
      <c r="Q699" s="39"/>
      <c r="R699" s="39"/>
      <c r="U699" s="41"/>
    </row>
    <row r="700" spans="1:21" s="40" customFormat="1" ht="16.8" customHeight="1">
      <c r="A700" s="33">
        <f>IF(H700&lt;&gt;"",1+MAX($A$5:A699),"")</f>
        <v>455</v>
      </c>
      <c r="B700" s="79"/>
      <c r="C700" s="69"/>
      <c r="D700" s="27" t="s">
        <v>59</v>
      </c>
      <c r="E700" s="35">
        <v>6</v>
      </c>
      <c r="F700" s="36">
        <v>0</v>
      </c>
      <c r="G700" s="37">
        <f t="shared" si="491"/>
        <v>6</v>
      </c>
      <c r="H700" s="38" t="s">
        <v>3</v>
      </c>
      <c r="I700" s="19">
        <v>650.07999999999993</v>
      </c>
      <c r="J700" s="19">
        <f t="shared" si="496"/>
        <v>3900.4799999999996</v>
      </c>
      <c r="K700" s="31">
        <v>2</v>
      </c>
      <c r="L700" s="19">
        <f t="shared" si="492"/>
        <v>50</v>
      </c>
      <c r="M700" s="32">
        <f t="shared" si="493"/>
        <v>12</v>
      </c>
      <c r="N700" s="11">
        <f t="shared" si="494"/>
        <v>600</v>
      </c>
      <c r="O700" s="11">
        <f t="shared" si="495"/>
        <v>4500.4799999999996</v>
      </c>
      <c r="P700" s="54"/>
      <c r="Q700" s="39"/>
      <c r="R700" s="39"/>
      <c r="U700" s="41"/>
    </row>
    <row r="701" spans="1:21" s="40" customFormat="1" ht="16.8" customHeight="1">
      <c r="A701" s="33">
        <f>IF(H701&lt;&gt;"",1+MAX($A$5:A700),"")</f>
        <v>456</v>
      </c>
      <c r="B701" s="79"/>
      <c r="C701" s="69"/>
      <c r="D701" s="27" t="s">
        <v>460</v>
      </c>
      <c r="E701" s="35">
        <v>1</v>
      </c>
      <c r="F701" s="36">
        <v>0</v>
      </c>
      <c r="G701" s="37">
        <f t="shared" si="491"/>
        <v>1</v>
      </c>
      <c r="H701" s="38" t="s">
        <v>3</v>
      </c>
      <c r="I701" s="19">
        <v>511.46</v>
      </c>
      <c r="J701" s="19">
        <f t="shared" si="496"/>
        <v>511.46</v>
      </c>
      <c r="K701" s="31">
        <v>2.8570000000000002</v>
      </c>
      <c r="L701" s="19">
        <f t="shared" si="492"/>
        <v>50</v>
      </c>
      <c r="M701" s="32">
        <f t="shared" si="493"/>
        <v>2.8570000000000002</v>
      </c>
      <c r="N701" s="11">
        <f t="shared" si="494"/>
        <v>142.85000000000002</v>
      </c>
      <c r="O701" s="11">
        <f t="shared" si="495"/>
        <v>654.30999999999995</v>
      </c>
      <c r="P701" s="54"/>
      <c r="Q701" s="39"/>
      <c r="R701" s="39"/>
      <c r="U701" s="41"/>
    </row>
    <row r="702" spans="1:21" s="40" customFormat="1" ht="16.8" customHeight="1">
      <c r="A702" s="33">
        <f>IF(H702&lt;&gt;"",1+MAX($A$5:A701),"")</f>
        <v>457</v>
      </c>
      <c r="B702" s="79"/>
      <c r="C702" s="69"/>
      <c r="D702" s="27" t="s">
        <v>58</v>
      </c>
      <c r="E702" s="35">
        <v>4</v>
      </c>
      <c r="F702" s="36">
        <v>0</v>
      </c>
      <c r="G702" s="37">
        <f t="shared" si="491"/>
        <v>4</v>
      </c>
      <c r="H702" s="38" t="s">
        <v>3</v>
      </c>
      <c r="I702" s="19">
        <v>1067.8519999999999</v>
      </c>
      <c r="J702" s="19">
        <f t="shared" si="496"/>
        <v>4271.4079999999994</v>
      </c>
      <c r="K702" s="31">
        <v>8.43</v>
      </c>
      <c r="L702" s="19">
        <f t="shared" si="492"/>
        <v>50</v>
      </c>
      <c r="M702" s="32">
        <f t="shared" si="493"/>
        <v>33.72</v>
      </c>
      <c r="N702" s="11">
        <f t="shared" si="494"/>
        <v>1686</v>
      </c>
      <c r="O702" s="11">
        <f t="shared" si="495"/>
        <v>5957.4079999999994</v>
      </c>
      <c r="P702" s="54"/>
      <c r="Q702" s="39"/>
      <c r="R702" s="39"/>
      <c r="U702" s="41"/>
    </row>
    <row r="703" spans="1:21" s="40" customFormat="1" ht="16.8" customHeight="1">
      <c r="A703" s="33">
        <f>IF(H703&lt;&gt;"",1+MAX($A$5:A702),"")</f>
        <v>458</v>
      </c>
      <c r="B703" s="79"/>
      <c r="C703" s="69"/>
      <c r="D703" s="27" t="s">
        <v>461</v>
      </c>
      <c r="E703" s="35">
        <v>1</v>
      </c>
      <c r="F703" s="36">
        <v>0</v>
      </c>
      <c r="G703" s="37">
        <f t="shared" si="491"/>
        <v>1</v>
      </c>
      <c r="H703" s="38" t="s">
        <v>3</v>
      </c>
      <c r="I703" s="19">
        <v>91.651719999999997</v>
      </c>
      <c r="J703" s="19">
        <f t="shared" si="496"/>
        <v>91.651719999999997</v>
      </c>
      <c r="K703" s="31">
        <v>1</v>
      </c>
      <c r="L703" s="19">
        <f t="shared" si="492"/>
        <v>50</v>
      </c>
      <c r="M703" s="32">
        <f t="shared" si="493"/>
        <v>1</v>
      </c>
      <c r="N703" s="11">
        <f t="shared" si="494"/>
        <v>50</v>
      </c>
      <c r="O703" s="11">
        <f t="shared" si="495"/>
        <v>141.65172000000001</v>
      </c>
      <c r="P703" s="54"/>
      <c r="Q703" s="39"/>
      <c r="R703" s="39"/>
      <c r="U703" s="41"/>
    </row>
    <row r="704" spans="1:21" s="40" customFormat="1" ht="16.8" customHeight="1">
      <c r="A704" s="33">
        <f>IF(H704&lt;&gt;"",1+MAX($A$5:A703),"")</f>
        <v>459</v>
      </c>
      <c r="B704" s="79"/>
      <c r="C704" s="69"/>
      <c r="D704" s="27" t="s">
        <v>462</v>
      </c>
      <c r="E704" s="35">
        <v>5</v>
      </c>
      <c r="F704" s="36">
        <v>0</v>
      </c>
      <c r="G704" s="37">
        <f t="shared" si="491"/>
        <v>5</v>
      </c>
      <c r="H704" s="38" t="s">
        <v>3</v>
      </c>
      <c r="I704" s="19">
        <v>401.52</v>
      </c>
      <c r="J704" s="19">
        <f t="shared" si="496"/>
        <v>2007.6</v>
      </c>
      <c r="K704" s="31">
        <v>3.0190000000000001</v>
      </c>
      <c r="L704" s="19">
        <f t="shared" si="492"/>
        <v>50</v>
      </c>
      <c r="M704" s="32">
        <f t="shared" si="493"/>
        <v>15.095000000000001</v>
      </c>
      <c r="N704" s="11">
        <f t="shared" si="494"/>
        <v>754.75</v>
      </c>
      <c r="O704" s="11">
        <f t="shared" si="495"/>
        <v>2762.35</v>
      </c>
      <c r="P704" s="54"/>
      <c r="Q704" s="39"/>
      <c r="R704" s="39"/>
      <c r="U704" s="41"/>
    </row>
    <row r="705" spans="1:21" s="40" customFormat="1" ht="16.8" customHeight="1">
      <c r="A705" s="33">
        <f>IF(H705&lt;&gt;"",1+MAX($A$5:A704),"")</f>
        <v>460</v>
      </c>
      <c r="B705" s="79"/>
      <c r="C705" s="69"/>
      <c r="D705" s="27" t="s">
        <v>463</v>
      </c>
      <c r="E705" s="35">
        <v>16</v>
      </c>
      <c r="F705" s="36">
        <v>0</v>
      </c>
      <c r="G705" s="37">
        <f t="shared" si="491"/>
        <v>16</v>
      </c>
      <c r="H705" s="38" t="s">
        <v>3</v>
      </c>
      <c r="I705" s="19">
        <v>175.904</v>
      </c>
      <c r="J705" s="19">
        <f t="shared" si="496"/>
        <v>2814.4639999999999</v>
      </c>
      <c r="K705" s="31">
        <v>1</v>
      </c>
      <c r="L705" s="19">
        <f t="shared" si="492"/>
        <v>50</v>
      </c>
      <c r="M705" s="32">
        <f t="shared" si="493"/>
        <v>16</v>
      </c>
      <c r="N705" s="11">
        <f t="shared" si="494"/>
        <v>800</v>
      </c>
      <c r="O705" s="11">
        <f t="shared" si="495"/>
        <v>3614.4639999999999</v>
      </c>
      <c r="P705" s="54"/>
      <c r="Q705" s="39"/>
      <c r="R705" s="39"/>
      <c r="U705" s="41"/>
    </row>
    <row r="706" spans="1:21" s="40" customFormat="1" ht="16.8" customHeight="1">
      <c r="A706" s="33" t="str">
        <f>IF(H706&lt;&gt;"",1+MAX($A$5:A705),"")</f>
        <v/>
      </c>
      <c r="B706" s="79"/>
      <c r="C706" s="69"/>
      <c r="D706" s="27"/>
      <c r="E706" s="35"/>
      <c r="F706" s="36"/>
      <c r="G706" s="37"/>
      <c r="H706" s="38"/>
      <c r="I706" s="19"/>
      <c r="J706" s="19"/>
      <c r="K706" s="31"/>
      <c r="L706" s="19"/>
      <c r="M706" s="32"/>
      <c r="N706" s="11"/>
      <c r="O706" s="11"/>
      <c r="P706" s="54"/>
      <c r="Q706" s="39"/>
      <c r="R706" s="39"/>
      <c r="U706" s="41"/>
    </row>
    <row r="707" spans="1:21" s="107" customFormat="1" ht="18">
      <c r="A707" s="98" t="str">
        <f>IF(H707&lt;&gt;"",1+MAX($A$5:A707),"")</f>
        <v/>
      </c>
      <c r="B707" s="99"/>
      <c r="C707" s="99"/>
      <c r="D707" s="100" t="s">
        <v>531</v>
      </c>
      <c r="E707" s="101"/>
      <c r="F707" s="102"/>
      <c r="G707" s="103"/>
      <c r="H707" s="102"/>
      <c r="I707" s="102"/>
      <c r="J707" s="102"/>
      <c r="K707" s="102"/>
      <c r="L707" s="102"/>
      <c r="M707" s="102"/>
      <c r="N707" s="104"/>
      <c r="O707" s="102"/>
      <c r="P707" s="105">
        <f>SUM(O710:O796)</f>
        <v>41493.448992000005</v>
      </c>
      <c r="Q707" s="39"/>
      <c r="R707" s="106"/>
      <c r="U707" s="108"/>
    </row>
    <row r="708" spans="1:21" s="3" customFormat="1">
      <c r="A708" s="33" t="str">
        <f>IF(H708&lt;&gt;"",1+MAX($A$5:A707),"")</f>
        <v/>
      </c>
      <c r="B708" s="62"/>
      <c r="C708" s="68"/>
      <c r="D708" s="63"/>
      <c r="E708" s="15"/>
      <c r="F708" s="16"/>
      <c r="G708" s="21"/>
      <c r="H708" s="17"/>
      <c r="I708" s="17"/>
      <c r="J708" s="17"/>
      <c r="K708" s="17"/>
      <c r="L708" s="17"/>
      <c r="M708" s="17"/>
      <c r="N708" s="82" t="s">
        <v>20</v>
      </c>
      <c r="O708" s="29">
        <v>50</v>
      </c>
      <c r="P708" s="54"/>
      <c r="Q708" s="39"/>
      <c r="R708" s="2"/>
      <c r="U708" s="14"/>
    </row>
    <row r="709" spans="1:21" s="40" customFormat="1" ht="16.8" customHeight="1">
      <c r="A709" s="33" t="str">
        <f>IF(H709&lt;&gt;"",1+MAX($A$5:A708),"")</f>
        <v/>
      </c>
      <c r="B709" s="79"/>
      <c r="C709" s="69"/>
      <c r="D709" s="114" t="s">
        <v>530</v>
      </c>
      <c r="E709" s="35"/>
      <c r="F709" s="36"/>
      <c r="G709" s="37"/>
      <c r="H709" s="38"/>
      <c r="I709" s="19"/>
      <c r="J709" s="19"/>
      <c r="K709" s="31"/>
      <c r="L709" s="19"/>
      <c r="M709" s="32"/>
      <c r="N709" s="11"/>
      <c r="O709" s="11"/>
      <c r="P709" s="54"/>
      <c r="Q709" s="39"/>
      <c r="R709" s="39"/>
      <c r="U709" s="41"/>
    </row>
    <row r="710" spans="1:21" s="40" customFormat="1" ht="16.8" customHeight="1">
      <c r="A710" s="33" t="str">
        <f>IF(H710&lt;&gt;"",1+MAX($A$5:A709),"")</f>
        <v/>
      </c>
      <c r="B710" s="79"/>
      <c r="C710" s="69"/>
      <c r="D710" s="94" t="s">
        <v>529</v>
      </c>
      <c r="E710" s="35"/>
      <c r="F710" s="36"/>
      <c r="G710" s="37"/>
      <c r="H710" s="38"/>
      <c r="I710" s="19"/>
      <c r="J710" s="19"/>
      <c r="K710" s="31"/>
      <c r="L710" s="19"/>
      <c r="M710" s="32"/>
      <c r="N710" s="11"/>
      <c r="O710" s="11"/>
      <c r="P710" s="54"/>
      <c r="Q710" s="39"/>
      <c r="R710" s="39"/>
      <c r="U710" s="41"/>
    </row>
    <row r="711" spans="1:21" s="40" customFormat="1" ht="16.8" customHeight="1">
      <c r="A711" s="33">
        <f>IF(H711&lt;&gt;"",1+MAX($A$5:A710),"")</f>
        <v>461</v>
      </c>
      <c r="B711" s="79"/>
      <c r="C711" s="69"/>
      <c r="D711" s="27" t="s">
        <v>528</v>
      </c>
      <c r="E711" s="35">
        <v>25</v>
      </c>
      <c r="F711" s="36">
        <v>0.1</v>
      </c>
      <c r="G711" s="37">
        <f t="shared" ref="G711:G719" si="497">(1+F711)*E711</f>
        <v>27.500000000000004</v>
      </c>
      <c r="H711" s="38" t="s">
        <v>4</v>
      </c>
      <c r="I711" s="19">
        <v>13.909800000000001</v>
      </c>
      <c r="J711" s="19">
        <f t="shared" ref="J711" si="498">I711*G711</f>
        <v>382.51950000000005</v>
      </c>
      <c r="K711" s="31">
        <v>0.16</v>
      </c>
      <c r="L711" s="19">
        <f>$O$708</f>
        <v>50</v>
      </c>
      <c r="M711" s="32">
        <f t="shared" ref="M711" si="499">K711*G711</f>
        <v>4.4000000000000004</v>
      </c>
      <c r="N711" s="11">
        <f t="shared" ref="N711" si="500">M711*L711</f>
        <v>220.00000000000003</v>
      </c>
      <c r="O711" s="11">
        <f t="shared" ref="O711" si="501">N711+J711</f>
        <v>602.51950000000011</v>
      </c>
      <c r="P711" s="54"/>
      <c r="Q711" s="39"/>
      <c r="R711" s="39"/>
      <c r="U711" s="41"/>
    </row>
    <row r="712" spans="1:21" s="40" customFormat="1" ht="16.8" customHeight="1">
      <c r="A712" s="33">
        <f>IF(H712&lt;&gt;"",1+MAX($A$5:A711),"")</f>
        <v>462</v>
      </c>
      <c r="B712" s="79"/>
      <c r="C712" s="69"/>
      <c r="D712" s="27" t="s">
        <v>527</v>
      </c>
      <c r="E712" s="35">
        <v>7</v>
      </c>
      <c r="F712" s="36">
        <v>0.1</v>
      </c>
      <c r="G712" s="37">
        <f t="shared" si="497"/>
        <v>7.7000000000000011</v>
      </c>
      <c r="H712" s="38" t="s">
        <v>4</v>
      </c>
      <c r="I712" s="19">
        <v>20.267199999999999</v>
      </c>
      <c r="J712" s="19">
        <f t="shared" ref="J712:J719" si="502">I712*G712</f>
        <v>156.05744000000001</v>
      </c>
      <c r="K712" s="31">
        <v>0.18</v>
      </c>
      <c r="L712" s="19">
        <f t="shared" ref="L712:L719" si="503">$O$708</f>
        <v>50</v>
      </c>
      <c r="M712" s="32">
        <f t="shared" ref="M712:M719" si="504">K712*G712</f>
        <v>1.3860000000000001</v>
      </c>
      <c r="N712" s="11">
        <f t="shared" ref="N712:N719" si="505">M712*L712</f>
        <v>69.300000000000011</v>
      </c>
      <c r="O712" s="11">
        <f t="shared" ref="O712:O719" si="506">N712+J712</f>
        <v>225.35744000000003</v>
      </c>
      <c r="P712" s="54"/>
      <c r="Q712" s="39"/>
      <c r="R712" s="39"/>
      <c r="U712" s="41"/>
    </row>
    <row r="713" spans="1:21" s="40" customFormat="1" ht="16.8" customHeight="1">
      <c r="A713" s="33">
        <f>IF(H713&lt;&gt;"",1+MAX($A$5:A712),"")</f>
        <v>463</v>
      </c>
      <c r="B713" s="79"/>
      <c r="C713" s="69"/>
      <c r="D713" s="27" t="s">
        <v>519</v>
      </c>
      <c r="E713" s="35">
        <v>24</v>
      </c>
      <c r="F713" s="36">
        <v>0.1</v>
      </c>
      <c r="G713" s="37">
        <f t="shared" si="497"/>
        <v>26.400000000000002</v>
      </c>
      <c r="H713" s="38" t="s">
        <v>4</v>
      </c>
      <c r="I713" s="19">
        <v>9.081999999999999</v>
      </c>
      <c r="J713" s="19">
        <f t="shared" si="502"/>
        <v>239.76479999999998</v>
      </c>
      <c r="K713" s="31">
        <v>0.12</v>
      </c>
      <c r="L713" s="19">
        <f t="shared" si="503"/>
        <v>50</v>
      </c>
      <c r="M713" s="32">
        <f t="shared" si="504"/>
        <v>3.1680000000000001</v>
      </c>
      <c r="N713" s="11">
        <f t="shared" si="505"/>
        <v>158.4</v>
      </c>
      <c r="O713" s="11">
        <f t="shared" si="506"/>
        <v>398.16480000000001</v>
      </c>
      <c r="P713" s="54"/>
      <c r="Q713" s="39"/>
      <c r="R713" s="39"/>
      <c r="U713" s="41"/>
    </row>
    <row r="714" spans="1:21" s="40" customFormat="1" ht="16.8" customHeight="1">
      <c r="A714" s="33">
        <f>IF(H714&lt;&gt;"",1+MAX($A$5:A713),"")</f>
        <v>464</v>
      </c>
      <c r="B714" s="79"/>
      <c r="C714" s="69"/>
      <c r="D714" s="27" t="s">
        <v>526</v>
      </c>
      <c r="E714" s="35">
        <v>34</v>
      </c>
      <c r="F714" s="36">
        <v>0.1</v>
      </c>
      <c r="G714" s="37">
        <f t="shared" si="497"/>
        <v>37.400000000000006</v>
      </c>
      <c r="H714" s="38" t="s">
        <v>4</v>
      </c>
      <c r="I714" s="19">
        <v>11.78748</v>
      </c>
      <c r="J714" s="19">
        <f t="shared" si="502"/>
        <v>440.85175200000009</v>
      </c>
      <c r="K714" s="31">
        <v>0.14000000000000001</v>
      </c>
      <c r="L714" s="19">
        <f t="shared" si="503"/>
        <v>50</v>
      </c>
      <c r="M714" s="32">
        <f t="shared" si="504"/>
        <v>5.2360000000000015</v>
      </c>
      <c r="N714" s="11">
        <f t="shared" si="505"/>
        <v>261.80000000000007</v>
      </c>
      <c r="O714" s="11">
        <f t="shared" si="506"/>
        <v>702.65175200000022</v>
      </c>
      <c r="P714" s="54"/>
      <c r="Q714" s="39"/>
      <c r="R714" s="39"/>
      <c r="U714" s="41"/>
    </row>
    <row r="715" spans="1:21" s="40" customFormat="1" ht="16.8" customHeight="1">
      <c r="A715" s="33">
        <f>IF(H715&lt;&gt;"",1+MAX($A$5:A714),"")</f>
        <v>465</v>
      </c>
      <c r="B715" s="79"/>
      <c r="C715" s="69"/>
      <c r="D715" s="27" t="s">
        <v>525</v>
      </c>
      <c r="E715" s="35">
        <v>15</v>
      </c>
      <c r="F715" s="36">
        <v>0.1</v>
      </c>
      <c r="G715" s="37">
        <f t="shared" si="497"/>
        <v>16.5</v>
      </c>
      <c r="H715" s="38" t="s">
        <v>4</v>
      </c>
      <c r="I715" s="19">
        <v>13.909800000000001</v>
      </c>
      <c r="J715" s="19">
        <f t="shared" si="502"/>
        <v>229.51170000000002</v>
      </c>
      <c r="K715" s="31">
        <v>0.16</v>
      </c>
      <c r="L715" s="19">
        <f t="shared" si="503"/>
        <v>50</v>
      </c>
      <c r="M715" s="32">
        <f t="shared" si="504"/>
        <v>2.64</v>
      </c>
      <c r="N715" s="11">
        <f t="shared" si="505"/>
        <v>132</v>
      </c>
      <c r="O715" s="11">
        <f t="shared" si="506"/>
        <v>361.51170000000002</v>
      </c>
      <c r="P715" s="54"/>
      <c r="Q715" s="39"/>
      <c r="R715" s="39"/>
      <c r="U715" s="41"/>
    </row>
    <row r="716" spans="1:21" s="40" customFormat="1" ht="16.8" customHeight="1">
      <c r="A716" s="33">
        <f>IF(H716&lt;&gt;"",1+MAX($A$5:A715),"")</f>
        <v>466</v>
      </c>
      <c r="B716" s="79"/>
      <c r="C716" s="69"/>
      <c r="D716" s="27" t="s">
        <v>525</v>
      </c>
      <c r="E716" s="35">
        <v>36</v>
      </c>
      <c r="F716" s="36">
        <v>0.1</v>
      </c>
      <c r="G716" s="37">
        <f t="shared" si="497"/>
        <v>39.6</v>
      </c>
      <c r="H716" s="38" t="s">
        <v>4</v>
      </c>
      <c r="I716" s="19">
        <v>13.909800000000001</v>
      </c>
      <c r="J716" s="19">
        <f t="shared" si="502"/>
        <v>550.82808</v>
      </c>
      <c r="K716" s="31">
        <v>0.16</v>
      </c>
      <c r="L716" s="19">
        <f t="shared" si="503"/>
        <v>50</v>
      </c>
      <c r="M716" s="32">
        <f t="shared" si="504"/>
        <v>6.3360000000000003</v>
      </c>
      <c r="N716" s="11">
        <f t="shared" si="505"/>
        <v>316.8</v>
      </c>
      <c r="O716" s="11">
        <f t="shared" si="506"/>
        <v>867.62807999999995</v>
      </c>
      <c r="P716" s="54"/>
      <c r="Q716" s="39"/>
      <c r="R716" s="39"/>
      <c r="U716" s="41"/>
    </row>
    <row r="717" spans="1:21" s="40" customFormat="1" ht="16.8" customHeight="1">
      <c r="A717" s="33">
        <f>IF(H717&lt;&gt;"",1+MAX($A$5:A716),"")</f>
        <v>467</v>
      </c>
      <c r="B717" s="79"/>
      <c r="C717" s="69"/>
      <c r="D717" s="27" t="s">
        <v>524</v>
      </c>
      <c r="E717" s="35">
        <v>8</v>
      </c>
      <c r="F717" s="36">
        <v>0.1</v>
      </c>
      <c r="G717" s="37">
        <f t="shared" si="497"/>
        <v>8.8000000000000007</v>
      </c>
      <c r="H717" s="38" t="s">
        <v>4</v>
      </c>
      <c r="I717" s="19">
        <v>20.267199999999999</v>
      </c>
      <c r="J717" s="19">
        <f t="shared" si="502"/>
        <v>178.35136</v>
      </c>
      <c r="K717" s="31">
        <v>0.18</v>
      </c>
      <c r="L717" s="19">
        <f t="shared" si="503"/>
        <v>50</v>
      </c>
      <c r="M717" s="32">
        <f t="shared" si="504"/>
        <v>1.5840000000000001</v>
      </c>
      <c r="N717" s="11">
        <f t="shared" si="505"/>
        <v>79.2</v>
      </c>
      <c r="O717" s="11">
        <f t="shared" si="506"/>
        <v>257.55135999999999</v>
      </c>
      <c r="P717" s="54"/>
      <c r="Q717" s="39"/>
      <c r="R717" s="39"/>
      <c r="U717" s="41"/>
    </row>
    <row r="718" spans="1:21" s="40" customFormat="1" ht="16.8" customHeight="1">
      <c r="A718" s="33">
        <f>IF(H718&lt;&gt;"",1+MAX($A$5:A717),"")</f>
        <v>468</v>
      </c>
      <c r="B718" s="79"/>
      <c r="C718" s="69"/>
      <c r="D718" s="27" t="s">
        <v>518</v>
      </c>
      <c r="E718" s="35">
        <v>43</v>
      </c>
      <c r="F718" s="36">
        <v>0.1</v>
      </c>
      <c r="G718" s="37">
        <f t="shared" si="497"/>
        <v>47.300000000000004</v>
      </c>
      <c r="H718" s="38" t="s">
        <v>4</v>
      </c>
      <c r="I718" s="19">
        <v>5.3535999999999992</v>
      </c>
      <c r="J718" s="19">
        <f t="shared" si="502"/>
        <v>253.22528</v>
      </c>
      <c r="K718" s="31">
        <v>0.08</v>
      </c>
      <c r="L718" s="19">
        <f t="shared" si="503"/>
        <v>50</v>
      </c>
      <c r="M718" s="32">
        <f t="shared" si="504"/>
        <v>3.7840000000000003</v>
      </c>
      <c r="N718" s="11">
        <f t="shared" si="505"/>
        <v>189.20000000000002</v>
      </c>
      <c r="O718" s="11">
        <f t="shared" si="506"/>
        <v>442.42528000000004</v>
      </c>
      <c r="P718" s="54"/>
      <c r="Q718" s="39"/>
      <c r="R718" s="39"/>
      <c r="U718" s="41"/>
    </row>
    <row r="719" spans="1:21" s="40" customFormat="1" ht="16.8" customHeight="1">
      <c r="A719" s="33">
        <f>IF(H719&lt;&gt;"",1+MAX($A$5:A718),"")</f>
        <v>469</v>
      </c>
      <c r="B719" s="79"/>
      <c r="C719" s="69"/>
      <c r="D719" s="27" t="s">
        <v>517</v>
      </c>
      <c r="E719" s="35">
        <v>60</v>
      </c>
      <c r="F719" s="36">
        <v>0.1</v>
      </c>
      <c r="G719" s="37">
        <f t="shared" si="497"/>
        <v>66</v>
      </c>
      <c r="H719" s="38" t="s">
        <v>4</v>
      </c>
      <c r="I719" s="19">
        <v>7.2655999999999992</v>
      </c>
      <c r="J719" s="19">
        <f t="shared" si="502"/>
        <v>479.52959999999996</v>
      </c>
      <c r="K719" s="31">
        <v>0.08</v>
      </c>
      <c r="L719" s="19">
        <f t="shared" si="503"/>
        <v>50</v>
      </c>
      <c r="M719" s="32">
        <f t="shared" si="504"/>
        <v>5.28</v>
      </c>
      <c r="N719" s="11">
        <f t="shared" si="505"/>
        <v>264</v>
      </c>
      <c r="O719" s="11">
        <f t="shared" si="506"/>
        <v>743.52959999999996</v>
      </c>
      <c r="P719" s="54"/>
      <c r="Q719" s="39"/>
      <c r="R719" s="39"/>
      <c r="U719" s="41"/>
    </row>
    <row r="720" spans="1:21" s="40" customFormat="1" ht="16.8" customHeight="1">
      <c r="A720" s="33" t="str">
        <f>IF(H720&lt;&gt;"",1+MAX($A$5:A719),"")</f>
        <v/>
      </c>
      <c r="B720" s="79"/>
      <c r="C720" s="69"/>
      <c r="D720" s="27"/>
      <c r="E720" s="35"/>
      <c r="F720" s="36"/>
      <c r="G720" s="37"/>
      <c r="H720" s="38"/>
      <c r="I720" s="19"/>
      <c r="J720" s="19"/>
      <c r="K720" s="31"/>
      <c r="L720" s="19"/>
      <c r="M720" s="32"/>
      <c r="N720" s="11"/>
      <c r="O720" s="11"/>
      <c r="P720" s="54"/>
      <c r="Q720" s="39"/>
      <c r="R720" s="39"/>
      <c r="U720" s="41"/>
    </row>
    <row r="721" spans="1:21" s="40" customFormat="1" ht="16.8" customHeight="1">
      <c r="A721" s="33" t="str">
        <f>IF(H721&lt;&gt;"",1+MAX($A$5:A720),"")</f>
        <v/>
      </c>
      <c r="B721" s="79"/>
      <c r="C721" s="69"/>
      <c r="D721" s="94" t="s">
        <v>523</v>
      </c>
      <c r="E721" s="35"/>
      <c r="F721" s="36"/>
      <c r="G721" s="37"/>
      <c r="H721" s="38"/>
      <c r="I721" s="19"/>
      <c r="J721" s="19"/>
      <c r="K721" s="31"/>
      <c r="L721" s="19"/>
      <c r="M721" s="32"/>
      <c r="N721" s="11"/>
      <c r="O721" s="11"/>
      <c r="P721" s="54"/>
      <c r="Q721" s="39"/>
      <c r="R721" s="39"/>
      <c r="U721" s="41"/>
    </row>
    <row r="722" spans="1:21" s="40" customFormat="1" ht="16.8" customHeight="1">
      <c r="A722" s="33">
        <f>IF(H722&lt;&gt;"",1+MAX($A$5:A721),"")</f>
        <v>470</v>
      </c>
      <c r="B722" s="79"/>
      <c r="C722" s="69"/>
      <c r="D722" s="27" t="s">
        <v>522</v>
      </c>
      <c r="E722" s="35">
        <v>14</v>
      </c>
      <c r="F722" s="36">
        <v>0.1</v>
      </c>
      <c r="G722" s="37">
        <f>(1+F722)*E722</f>
        <v>15.400000000000002</v>
      </c>
      <c r="H722" s="38" t="s">
        <v>4</v>
      </c>
      <c r="I722" s="19">
        <v>12.619199999999999</v>
      </c>
      <c r="J722" s="19">
        <f t="shared" ref="J722:J723" si="507">I722*G722</f>
        <v>194.33568000000002</v>
      </c>
      <c r="K722" s="31">
        <v>0.14000000000000001</v>
      </c>
      <c r="L722" s="19">
        <f t="shared" ref="L722:L723" si="508">$O$708</f>
        <v>50</v>
      </c>
      <c r="M722" s="32">
        <f t="shared" ref="M722:M723" si="509">K722*G722</f>
        <v>2.1560000000000006</v>
      </c>
      <c r="N722" s="11">
        <f t="shared" ref="N722:N723" si="510">M722*L722</f>
        <v>107.80000000000003</v>
      </c>
      <c r="O722" s="11">
        <f t="shared" ref="O722:O723" si="511">N722+J722</f>
        <v>302.13568000000004</v>
      </c>
      <c r="P722" s="54"/>
      <c r="Q722" s="39"/>
      <c r="R722" s="39"/>
      <c r="U722" s="41"/>
    </row>
    <row r="723" spans="1:21" s="40" customFormat="1" ht="16.8" customHeight="1">
      <c r="A723" s="33">
        <f>IF(H723&lt;&gt;"",1+MAX($A$5:A722),"")</f>
        <v>471</v>
      </c>
      <c r="B723" s="79"/>
      <c r="C723" s="69"/>
      <c r="D723" s="27" t="s">
        <v>521</v>
      </c>
      <c r="E723" s="35">
        <v>5</v>
      </c>
      <c r="F723" s="36">
        <v>0.1</v>
      </c>
      <c r="G723" s="37">
        <f>(1+F723)*E723</f>
        <v>5.5</v>
      </c>
      <c r="H723" s="38" t="s">
        <v>4</v>
      </c>
      <c r="I723" s="19">
        <v>17.0168</v>
      </c>
      <c r="J723" s="19">
        <f t="shared" si="507"/>
        <v>93.592399999999998</v>
      </c>
      <c r="K723" s="31">
        <v>0.154</v>
      </c>
      <c r="L723" s="19">
        <f t="shared" si="508"/>
        <v>50</v>
      </c>
      <c r="M723" s="32">
        <f t="shared" si="509"/>
        <v>0.84699999999999998</v>
      </c>
      <c r="N723" s="11">
        <f t="shared" si="510"/>
        <v>42.35</v>
      </c>
      <c r="O723" s="11">
        <f t="shared" si="511"/>
        <v>135.94239999999999</v>
      </c>
      <c r="P723" s="54"/>
      <c r="Q723" s="39"/>
      <c r="R723" s="39"/>
      <c r="U723" s="41"/>
    </row>
    <row r="724" spans="1:21" s="40" customFormat="1" ht="16.8" customHeight="1">
      <c r="A724" s="33" t="str">
        <f>IF(H724&lt;&gt;"",1+MAX($A$5:A723),"")</f>
        <v/>
      </c>
      <c r="B724" s="79"/>
      <c r="C724" s="69"/>
      <c r="D724" s="27"/>
      <c r="E724" s="35"/>
      <c r="F724" s="36"/>
      <c r="G724" s="37"/>
      <c r="H724" s="38"/>
      <c r="I724" s="19"/>
      <c r="J724" s="19"/>
      <c r="K724" s="31"/>
      <c r="L724" s="19"/>
      <c r="M724" s="32"/>
      <c r="N724" s="11"/>
      <c r="O724" s="11"/>
      <c r="P724" s="54"/>
      <c r="Q724" s="39"/>
      <c r="R724" s="39"/>
      <c r="U724" s="41"/>
    </row>
    <row r="725" spans="1:21" s="40" customFormat="1" ht="16.8" customHeight="1">
      <c r="A725" s="33" t="str">
        <f>IF(H725&lt;&gt;"",1+MAX($A$5:A724),"")</f>
        <v/>
      </c>
      <c r="B725" s="79"/>
      <c r="C725" s="69"/>
      <c r="D725" s="94" t="s">
        <v>520</v>
      </c>
      <c r="E725" s="35"/>
      <c r="F725" s="36"/>
      <c r="G725" s="37"/>
      <c r="H725" s="38"/>
      <c r="I725" s="19"/>
      <c r="J725" s="19"/>
      <c r="K725" s="31"/>
      <c r="L725" s="19"/>
      <c r="M725" s="32"/>
      <c r="N725" s="11"/>
      <c r="O725" s="11"/>
      <c r="P725" s="54"/>
      <c r="Q725" s="39"/>
      <c r="R725" s="39"/>
      <c r="U725" s="41"/>
    </row>
    <row r="726" spans="1:21" s="40" customFormat="1" ht="16.8" customHeight="1">
      <c r="A726" s="33">
        <f>IF(H726&lt;&gt;"",1+MAX($A$5:A725),"")</f>
        <v>472</v>
      </c>
      <c r="B726" s="79"/>
      <c r="C726" s="69"/>
      <c r="D726" s="27" t="s">
        <v>517</v>
      </c>
      <c r="E726" s="35">
        <v>2</v>
      </c>
      <c r="F726" s="36">
        <v>0.1</v>
      </c>
      <c r="G726" s="37">
        <f>(1+F726)*E726</f>
        <v>2.2000000000000002</v>
      </c>
      <c r="H726" s="38" t="s">
        <v>4</v>
      </c>
      <c r="I726" s="19">
        <v>7.2655999999999992</v>
      </c>
      <c r="J726" s="19">
        <f t="shared" ref="J726:J729" si="512">I726*G726</f>
        <v>15.98432</v>
      </c>
      <c r="K726" s="31">
        <v>0.08</v>
      </c>
      <c r="L726" s="19">
        <f t="shared" ref="L726:L729" si="513">$O$708</f>
        <v>50</v>
      </c>
      <c r="M726" s="32">
        <f t="shared" ref="M726:M729" si="514">K726*G726</f>
        <v>0.17600000000000002</v>
      </c>
      <c r="N726" s="11">
        <f t="shared" ref="N726:N729" si="515">M726*L726</f>
        <v>8.8000000000000007</v>
      </c>
      <c r="O726" s="11">
        <f t="shared" ref="O726:O729" si="516">N726+J726</f>
        <v>24.784320000000001</v>
      </c>
      <c r="P726" s="54"/>
      <c r="Q726" s="39"/>
      <c r="R726" s="39"/>
      <c r="U726" s="41"/>
    </row>
    <row r="727" spans="1:21" s="40" customFormat="1" ht="16.8" customHeight="1">
      <c r="A727" s="33">
        <f>IF(H727&lt;&gt;"",1+MAX($A$5:A726),"")</f>
        <v>473</v>
      </c>
      <c r="B727" s="79"/>
      <c r="C727" s="69"/>
      <c r="D727" s="27" t="s">
        <v>519</v>
      </c>
      <c r="E727" s="35">
        <v>3</v>
      </c>
      <c r="F727" s="36">
        <v>0.1</v>
      </c>
      <c r="G727" s="37">
        <f>(1+F727)*E727</f>
        <v>3.3000000000000003</v>
      </c>
      <c r="H727" s="38" t="s">
        <v>4</v>
      </c>
      <c r="I727" s="19">
        <v>9.751199999999999</v>
      </c>
      <c r="J727" s="19">
        <f t="shared" si="512"/>
        <v>32.178959999999996</v>
      </c>
      <c r="K727" s="31">
        <v>0.12</v>
      </c>
      <c r="L727" s="19">
        <f t="shared" si="513"/>
        <v>50</v>
      </c>
      <c r="M727" s="32">
        <f t="shared" si="514"/>
        <v>0.39600000000000002</v>
      </c>
      <c r="N727" s="11">
        <f t="shared" si="515"/>
        <v>19.8</v>
      </c>
      <c r="O727" s="11">
        <f t="shared" si="516"/>
        <v>51.978960000000001</v>
      </c>
      <c r="P727" s="54"/>
      <c r="Q727" s="39"/>
      <c r="R727" s="39"/>
      <c r="U727" s="41"/>
    </row>
    <row r="728" spans="1:21" s="40" customFormat="1" ht="16.8" customHeight="1">
      <c r="A728" s="33">
        <f>IF(H728&lt;&gt;"",1+MAX($A$5:A727),"")</f>
        <v>474</v>
      </c>
      <c r="B728" s="79"/>
      <c r="C728" s="69"/>
      <c r="D728" s="27" t="s">
        <v>518</v>
      </c>
      <c r="E728" s="35">
        <v>7</v>
      </c>
      <c r="F728" s="36">
        <v>0.1</v>
      </c>
      <c r="G728" s="37">
        <f>(1+F728)*E728</f>
        <v>7.7000000000000011</v>
      </c>
      <c r="H728" s="38" t="s">
        <v>4</v>
      </c>
      <c r="I728" s="19">
        <v>5.3535999999999992</v>
      </c>
      <c r="J728" s="19">
        <f t="shared" si="512"/>
        <v>41.222720000000002</v>
      </c>
      <c r="K728" s="31">
        <v>0.08</v>
      </c>
      <c r="L728" s="19">
        <f t="shared" si="513"/>
        <v>50</v>
      </c>
      <c r="M728" s="32">
        <f t="shared" si="514"/>
        <v>0.6160000000000001</v>
      </c>
      <c r="N728" s="11">
        <f t="shared" si="515"/>
        <v>30.800000000000004</v>
      </c>
      <c r="O728" s="11">
        <f t="shared" si="516"/>
        <v>72.022720000000007</v>
      </c>
      <c r="P728" s="54"/>
      <c r="Q728" s="39"/>
      <c r="R728" s="39"/>
      <c r="U728" s="41"/>
    </row>
    <row r="729" spans="1:21" s="40" customFormat="1" ht="16.8" customHeight="1">
      <c r="A729" s="33">
        <f>IF(H729&lt;&gt;"",1+MAX($A$5:A728),"")</f>
        <v>475</v>
      </c>
      <c r="B729" s="79"/>
      <c r="C729" s="69"/>
      <c r="D729" s="27" t="s">
        <v>517</v>
      </c>
      <c r="E729" s="35">
        <v>15</v>
      </c>
      <c r="F729" s="36">
        <v>0.1</v>
      </c>
      <c r="G729" s="37">
        <f>(1+F729)*E729</f>
        <v>16.5</v>
      </c>
      <c r="H729" s="38" t="s">
        <v>4</v>
      </c>
      <c r="I729" s="19">
        <v>7.2655999999999992</v>
      </c>
      <c r="J729" s="19">
        <f t="shared" si="512"/>
        <v>119.88239999999999</v>
      </c>
      <c r="K729" s="31">
        <v>0.08</v>
      </c>
      <c r="L729" s="19">
        <f t="shared" si="513"/>
        <v>50</v>
      </c>
      <c r="M729" s="32">
        <f t="shared" si="514"/>
        <v>1.32</v>
      </c>
      <c r="N729" s="11">
        <f t="shared" si="515"/>
        <v>66</v>
      </c>
      <c r="O729" s="11">
        <f t="shared" si="516"/>
        <v>185.88239999999999</v>
      </c>
      <c r="P729" s="54"/>
      <c r="Q729" s="39"/>
      <c r="R729" s="39"/>
      <c r="U729" s="41"/>
    </row>
    <row r="730" spans="1:21" s="40" customFormat="1" ht="16.8" customHeight="1">
      <c r="A730" s="33" t="str">
        <f>IF(H730&lt;&gt;"",1+MAX($A$5:A729),"")</f>
        <v/>
      </c>
      <c r="B730" s="79"/>
      <c r="C730" s="69"/>
      <c r="D730" s="27"/>
      <c r="E730" s="35"/>
      <c r="F730" s="36"/>
      <c r="G730" s="37"/>
      <c r="H730" s="38"/>
      <c r="I730" s="19"/>
      <c r="J730" s="19"/>
      <c r="K730" s="31"/>
      <c r="L730" s="19"/>
      <c r="M730" s="32"/>
      <c r="N730" s="11"/>
      <c r="O730" s="11"/>
      <c r="P730" s="54"/>
      <c r="Q730" s="39"/>
      <c r="R730" s="39"/>
      <c r="U730" s="41"/>
    </row>
    <row r="731" spans="1:21" s="40" customFormat="1" ht="16.8" customHeight="1">
      <c r="A731" s="33" t="str">
        <f>IF(H731&lt;&gt;"",1+MAX($A$5:A730),"")</f>
        <v/>
      </c>
      <c r="B731" s="79"/>
      <c r="C731" s="69"/>
      <c r="D731" s="114" t="s">
        <v>516</v>
      </c>
      <c r="E731" s="35"/>
      <c r="F731" s="36"/>
      <c r="G731" s="37"/>
      <c r="H731" s="38"/>
      <c r="I731" s="19"/>
      <c r="J731" s="19"/>
      <c r="K731" s="31"/>
      <c r="L731" s="19"/>
      <c r="M731" s="32"/>
      <c r="N731" s="11"/>
      <c r="O731" s="11"/>
      <c r="P731" s="54"/>
      <c r="Q731" s="39"/>
      <c r="R731" s="39"/>
      <c r="U731" s="41"/>
    </row>
    <row r="732" spans="1:21" s="40" customFormat="1" ht="16.8" customHeight="1">
      <c r="A732" s="33" t="str">
        <f>IF(H732&lt;&gt;"",1+MAX($A$5:A731),"")</f>
        <v/>
      </c>
      <c r="B732" s="79"/>
      <c r="C732" s="69"/>
      <c r="D732" s="94" t="s">
        <v>515</v>
      </c>
      <c r="E732" s="35"/>
      <c r="F732" s="36"/>
      <c r="G732" s="37"/>
      <c r="H732" s="38"/>
      <c r="I732" s="19"/>
      <c r="J732" s="19"/>
      <c r="K732" s="31"/>
      <c r="L732" s="19"/>
      <c r="M732" s="32"/>
      <c r="N732" s="11"/>
      <c r="O732" s="11"/>
      <c r="P732" s="54"/>
      <c r="Q732" s="39"/>
      <c r="R732" s="39"/>
      <c r="U732" s="41"/>
    </row>
    <row r="733" spans="1:21" s="40" customFormat="1" ht="16.8" customHeight="1">
      <c r="A733" s="33">
        <f>IF(H733&lt;&gt;"",1+MAX($A$5:A732),"")</f>
        <v>476</v>
      </c>
      <c r="B733" s="79"/>
      <c r="C733" s="69"/>
      <c r="D733" s="27" t="s">
        <v>514</v>
      </c>
      <c r="E733" s="35">
        <v>1</v>
      </c>
      <c r="F733" s="36">
        <v>0</v>
      </c>
      <c r="G733" s="37">
        <f t="shared" ref="G733:G740" si="517">(1+F733)*E733</f>
        <v>1</v>
      </c>
      <c r="H733" s="38" t="s">
        <v>3</v>
      </c>
      <c r="I733" s="19">
        <v>62.713599999999992</v>
      </c>
      <c r="J733" s="19">
        <f t="shared" ref="J733:J740" si="518">I733*G733</f>
        <v>62.713599999999992</v>
      </c>
      <c r="K733" s="31">
        <v>0.45500000000000002</v>
      </c>
      <c r="L733" s="19">
        <f t="shared" ref="L733:L740" si="519">$O$708</f>
        <v>50</v>
      </c>
      <c r="M733" s="32">
        <f t="shared" ref="M733:M740" si="520">K733*G733</f>
        <v>0.45500000000000002</v>
      </c>
      <c r="N733" s="11">
        <f t="shared" ref="N733:N740" si="521">M733*L733</f>
        <v>22.75</v>
      </c>
      <c r="O733" s="11">
        <f t="shared" ref="O733:O740" si="522">N733+J733</f>
        <v>85.463599999999985</v>
      </c>
      <c r="P733" s="54"/>
      <c r="Q733" s="39"/>
      <c r="R733" s="39"/>
      <c r="U733" s="41"/>
    </row>
    <row r="734" spans="1:21" s="40" customFormat="1" ht="16.8" customHeight="1">
      <c r="A734" s="33">
        <f>IF(H734&lt;&gt;"",1+MAX($A$5:A733),"")</f>
        <v>477</v>
      </c>
      <c r="B734" s="79"/>
      <c r="C734" s="69"/>
      <c r="D734" s="27" t="s">
        <v>513</v>
      </c>
      <c r="E734" s="35">
        <v>2</v>
      </c>
      <c r="F734" s="36">
        <v>0</v>
      </c>
      <c r="G734" s="37">
        <f t="shared" si="517"/>
        <v>2</v>
      </c>
      <c r="H734" s="38" t="s">
        <v>3</v>
      </c>
      <c r="I734" s="19">
        <v>74.567999999999998</v>
      </c>
      <c r="J734" s="19">
        <f t="shared" si="518"/>
        <v>149.136</v>
      </c>
      <c r="K734" s="31">
        <v>0.45500000000000002</v>
      </c>
      <c r="L734" s="19">
        <f t="shared" si="519"/>
        <v>50</v>
      </c>
      <c r="M734" s="32">
        <f t="shared" si="520"/>
        <v>0.91</v>
      </c>
      <c r="N734" s="11">
        <f t="shared" si="521"/>
        <v>45.5</v>
      </c>
      <c r="O734" s="11">
        <f t="shared" si="522"/>
        <v>194.636</v>
      </c>
      <c r="P734" s="54"/>
      <c r="Q734" s="39"/>
      <c r="R734" s="39"/>
      <c r="U734" s="41"/>
    </row>
    <row r="735" spans="1:21" s="40" customFormat="1" ht="16.8" customHeight="1">
      <c r="A735" s="33">
        <f>IF(H735&lt;&gt;"",1+MAX($A$5:A734),"")</f>
        <v>478</v>
      </c>
      <c r="B735" s="79"/>
      <c r="C735" s="69"/>
      <c r="D735" s="27" t="s">
        <v>512</v>
      </c>
      <c r="E735" s="35">
        <v>2</v>
      </c>
      <c r="F735" s="36">
        <v>0</v>
      </c>
      <c r="G735" s="37">
        <f t="shared" si="517"/>
        <v>2</v>
      </c>
      <c r="H735" s="38" t="s">
        <v>3</v>
      </c>
      <c r="I735" s="19">
        <v>74.567999999999998</v>
      </c>
      <c r="J735" s="19">
        <f t="shared" si="518"/>
        <v>149.136</v>
      </c>
      <c r="K735" s="31">
        <v>0.45500000000000002</v>
      </c>
      <c r="L735" s="19">
        <f t="shared" si="519"/>
        <v>50</v>
      </c>
      <c r="M735" s="32">
        <f t="shared" si="520"/>
        <v>0.91</v>
      </c>
      <c r="N735" s="11">
        <f t="shared" si="521"/>
        <v>45.5</v>
      </c>
      <c r="O735" s="11">
        <f t="shared" si="522"/>
        <v>194.636</v>
      </c>
      <c r="P735" s="54"/>
      <c r="Q735" s="39"/>
      <c r="R735" s="39"/>
      <c r="U735" s="41"/>
    </row>
    <row r="736" spans="1:21" s="40" customFormat="1" ht="16.8" customHeight="1">
      <c r="A736" s="33">
        <f>IF(H736&lt;&gt;"",1+MAX($A$5:A735),"")</f>
        <v>479</v>
      </c>
      <c r="B736" s="79"/>
      <c r="C736" s="69"/>
      <c r="D736" s="27" t="s">
        <v>511</v>
      </c>
      <c r="E736" s="35">
        <v>2</v>
      </c>
      <c r="F736" s="36">
        <v>0</v>
      </c>
      <c r="G736" s="37">
        <f t="shared" si="517"/>
        <v>2</v>
      </c>
      <c r="H736" s="38" t="s">
        <v>3</v>
      </c>
      <c r="I736" s="19">
        <v>78.391999999999996</v>
      </c>
      <c r="J736" s="19">
        <f t="shared" si="518"/>
        <v>156.78399999999999</v>
      </c>
      <c r="K736" s="31">
        <v>0.45500000000000002</v>
      </c>
      <c r="L736" s="19">
        <f t="shared" si="519"/>
        <v>50</v>
      </c>
      <c r="M736" s="32">
        <f t="shared" si="520"/>
        <v>0.91</v>
      </c>
      <c r="N736" s="11">
        <f t="shared" si="521"/>
        <v>45.5</v>
      </c>
      <c r="O736" s="11">
        <f t="shared" si="522"/>
        <v>202.28399999999999</v>
      </c>
      <c r="P736" s="54"/>
      <c r="Q736" s="39"/>
      <c r="R736" s="39"/>
      <c r="U736" s="41"/>
    </row>
    <row r="737" spans="1:21" s="40" customFormat="1" ht="16.8" customHeight="1">
      <c r="A737" s="33">
        <f>IF(H737&lt;&gt;"",1+MAX($A$5:A736),"")</f>
        <v>480</v>
      </c>
      <c r="B737" s="79"/>
      <c r="C737" s="69"/>
      <c r="D737" s="27" t="s">
        <v>510</v>
      </c>
      <c r="E737" s="35">
        <v>3</v>
      </c>
      <c r="F737" s="36">
        <v>0</v>
      </c>
      <c r="G737" s="37">
        <f t="shared" si="517"/>
        <v>3</v>
      </c>
      <c r="H737" s="38" t="s">
        <v>3</v>
      </c>
      <c r="I737" s="19">
        <v>78.391999999999996</v>
      </c>
      <c r="J737" s="19">
        <f t="shared" si="518"/>
        <v>235.17599999999999</v>
      </c>
      <c r="K737" s="31">
        <v>0.45500000000000002</v>
      </c>
      <c r="L737" s="19">
        <f t="shared" si="519"/>
        <v>50</v>
      </c>
      <c r="M737" s="32">
        <f t="shared" si="520"/>
        <v>1.365</v>
      </c>
      <c r="N737" s="11">
        <f t="shared" si="521"/>
        <v>68.25</v>
      </c>
      <c r="O737" s="11">
        <f t="shared" si="522"/>
        <v>303.42599999999999</v>
      </c>
      <c r="P737" s="54"/>
      <c r="Q737" s="39"/>
      <c r="R737" s="39"/>
      <c r="U737" s="41"/>
    </row>
    <row r="738" spans="1:21" s="40" customFormat="1" ht="16.8" customHeight="1">
      <c r="A738" s="33">
        <f>IF(H738&lt;&gt;"",1+MAX($A$5:A737),"")</f>
        <v>481</v>
      </c>
      <c r="B738" s="79"/>
      <c r="C738" s="69"/>
      <c r="D738" s="27" t="s">
        <v>509</v>
      </c>
      <c r="E738" s="35">
        <v>1</v>
      </c>
      <c r="F738" s="36">
        <v>0</v>
      </c>
      <c r="G738" s="37">
        <f t="shared" si="517"/>
        <v>1</v>
      </c>
      <c r="H738" s="38" t="s">
        <v>3</v>
      </c>
      <c r="I738" s="19">
        <v>85.084000000000003</v>
      </c>
      <c r="J738" s="19">
        <f t="shared" si="518"/>
        <v>85.084000000000003</v>
      </c>
      <c r="K738" s="31">
        <v>0.54</v>
      </c>
      <c r="L738" s="19">
        <f t="shared" si="519"/>
        <v>50</v>
      </c>
      <c r="M738" s="32">
        <f t="shared" si="520"/>
        <v>0.54</v>
      </c>
      <c r="N738" s="11">
        <f t="shared" si="521"/>
        <v>27</v>
      </c>
      <c r="O738" s="11">
        <f t="shared" si="522"/>
        <v>112.084</v>
      </c>
      <c r="P738" s="54"/>
      <c r="Q738" s="39"/>
      <c r="R738" s="39"/>
      <c r="U738" s="41"/>
    </row>
    <row r="739" spans="1:21" s="40" customFormat="1" ht="16.8" customHeight="1">
      <c r="A739" s="33">
        <f>IF(H739&lt;&gt;"",1+MAX($A$5:A738),"")</f>
        <v>482</v>
      </c>
      <c r="B739" s="79"/>
      <c r="C739" s="69"/>
      <c r="D739" s="27" t="s">
        <v>508</v>
      </c>
      <c r="E739" s="35">
        <v>1</v>
      </c>
      <c r="F739" s="36">
        <v>0</v>
      </c>
      <c r="G739" s="37">
        <f t="shared" si="517"/>
        <v>1</v>
      </c>
      <c r="H739" s="38" t="s">
        <v>3</v>
      </c>
      <c r="I739" s="19">
        <v>107.072</v>
      </c>
      <c r="J739" s="19">
        <f t="shared" si="518"/>
        <v>107.072</v>
      </c>
      <c r="K739" s="31">
        <v>0.6</v>
      </c>
      <c r="L739" s="19">
        <f t="shared" si="519"/>
        <v>50</v>
      </c>
      <c r="M739" s="32">
        <f t="shared" si="520"/>
        <v>0.6</v>
      </c>
      <c r="N739" s="11">
        <f t="shared" si="521"/>
        <v>30</v>
      </c>
      <c r="O739" s="11">
        <f t="shared" si="522"/>
        <v>137.072</v>
      </c>
      <c r="P739" s="54"/>
      <c r="Q739" s="39"/>
      <c r="R739" s="39"/>
      <c r="U739" s="41"/>
    </row>
    <row r="740" spans="1:21" s="40" customFormat="1" ht="16.8" customHeight="1">
      <c r="A740" s="33">
        <f>IF(H740&lt;&gt;"",1+MAX($A$5:A739),"")</f>
        <v>483</v>
      </c>
      <c r="B740" s="79"/>
      <c r="C740" s="69"/>
      <c r="D740" s="27" t="s">
        <v>507</v>
      </c>
      <c r="E740" s="35">
        <v>1</v>
      </c>
      <c r="F740" s="36">
        <v>0</v>
      </c>
      <c r="G740" s="37">
        <f t="shared" si="517"/>
        <v>1</v>
      </c>
      <c r="H740" s="38" t="s">
        <v>3</v>
      </c>
      <c r="I740" s="19">
        <v>7.2655999999999992</v>
      </c>
      <c r="J740" s="19">
        <f t="shared" si="518"/>
        <v>7.2655999999999992</v>
      </c>
      <c r="K740" s="31">
        <v>0.08</v>
      </c>
      <c r="L740" s="19">
        <f t="shared" si="519"/>
        <v>50</v>
      </c>
      <c r="M740" s="32">
        <f t="shared" si="520"/>
        <v>0.08</v>
      </c>
      <c r="N740" s="11">
        <f t="shared" si="521"/>
        <v>4</v>
      </c>
      <c r="O740" s="11">
        <f t="shared" si="522"/>
        <v>11.265599999999999</v>
      </c>
      <c r="P740" s="54"/>
      <c r="Q740" s="39"/>
      <c r="R740" s="39"/>
      <c r="U740" s="41"/>
    </row>
    <row r="741" spans="1:21" s="40" customFormat="1" ht="16.8" customHeight="1">
      <c r="A741" s="33" t="str">
        <f>IF(H741&lt;&gt;"",1+MAX($A$5:A740),"")</f>
        <v/>
      </c>
      <c r="B741" s="79"/>
      <c r="C741" s="69"/>
      <c r="D741" s="27"/>
      <c r="E741" s="35"/>
      <c r="F741" s="36"/>
      <c r="G741" s="37"/>
      <c r="H741" s="38"/>
      <c r="I741" s="19"/>
      <c r="J741" s="19"/>
      <c r="K741" s="31"/>
      <c r="L741" s="19"/>
      <c r="M741" s="32"/>
      <c r="N741" s="11"/>
      <c r="O741" s="11"/>
      <c r="P741" s="54"/>
      <c r="Q741" s="39"/>
      <c r="R741" s="39"/>
      <c r="U741" s="41"/>
    </row>
    <row r="742" spans="1:21" s="40" customFormat="1" ht="16.8" customHeight="1">
      <c r="A742" s="33" t="str">
        <f>IF(H742&lt;&gt;"",1+MAX($A$5:A741),"")</f>
        <v/>
      </c>
      <c r="B742" s="79"/>
      <c r="C742" s="69"/>
      <c r="D742" s="94" t="s">
        <v>506</v>
      </c>
      <c r="E742" s="35"/>
      <c r="F742" s="36"/>
      <c r="G742" s="37"/>
      <c r="H742" s="38"/>
      <c r="I742" s="19"/>
      <c r="J742" s="19"/>
      <c r="K742" s="31"/>
      <c r="L742" s="19"/>
      <c r="M742" s="32"/>
      <c r="N742" s="11"/>
      <c r="O742" s="11"/>
      <c r="P742" s="54"/>
      <c r="Q742" s="39"/>
      <c r="R742" s="39"/>
      <c r="U742" s="41"/>
    </row>
    <row r="743" spans="1:21" s="40" customFormat="1" ht="16.8" customHeight="1">
      <c r="A743" s="33">
        <f>IF(H743&lt;&gt;"",1+MAX($A$5:A742),"")</f>
        <v>484</v>
      </c>
      <c r="B743" s="79"/>
      <c r="C743" s="69"/>
      <c r="D743" s="27" t="s">
        <v>505</v>
      </c>
      <c r="E743" s="35">
        <v>1</v>
      </c>
      <c r="F743" s="36">
        <v>0</v>
      </c>
      <c r="G743" s="37">
        <f t="shared" ref="G743:G748" si="523">(1+F743)*E743</f>
        <v>1</v>
      </c>
      <c r="H743" s="38" t="s">
        <v>3</v>
      </c>
      <c r="I743" s="19">
        <v>13.909800000000001</v>
      </c>
      <c r="J743" s="19">
        <f t="shared" ref="J743:J748" si="524">I743*G743</f>
        <v>13.909800000000001</v>
      </c>
      <c r="K743" s="31">
        <v>0.17199999999999999</v>
      </c>
      <c r="L743" s="19">
        <f t="shared" ref="L743:L748" si="525">$O$708</f>
        <v>50</v>
      </c>
      <c r="M743" s="32">
        <f t="shared" ref="M743:M748" si="526">K743*G743</f>
        <v>0.17199999999999999</v>
      </c>
      <c r="N743" s="11">
        <f t="shared" ref="N743:N748" si="527">M743*L743</f>
        <v>8.6</v>
      </c>
      <c r="O743" s="11">
        <f t="shared" ref="O743:O748" si="528">N743+J743</f>
        <v>22.509799999999998</v>
      </c>
      <c r="P743" s="54"/>
      <c r="Q743" s="39"/>
      <c r="R743" s="39"/>
      <c r="U743" s="41"/>
    </row>
    <row r="744" spans="1:21" s="40" customFormat="1" ht="16.8" customHeight="1">
      <c r="A744" s="33">
        <f>IF(H744&lt;&gt;"",1+MAX($A$5:A743),"")</f>
        <v>485</v>
      </c>
      <c r="B744" s="79"/>
      <c r="C744" s="69"/>
      <c r="D744" s="27" t="s">
        <v>504</v>
      </c>
      <c r="E744" s="35">
        <v>1</v>
      </c>
      <c r="F744" s="36">
        <v>0</v>
      </c>
      <c r="G744" s="37">
        <f t="shared" si="523"/>
        <v>1</v>
      </c>
      <c r="H744" s="38" t="s">
        <v>3</v>
      </c>
      <c r="I744" s="19">
        <v>11.758800000000001</v>
      </c>
      <c r="J744" s="19">
        <f t="shared" si="524"/>
        <v>11.758800000000001</v>
      </c>
      <c r="K744" s="31">
        <v>0.17199999999999999</v>
      </c>
      <c r="L744" s="19">
        <f t="shared" si="525"/>
        <v>50</v>
      </c>
      <c r="M744" s="32">
        <f t="shared" si="526"/>
        <v>0.17199999999999999</v>
      </c>
      <c r="N744" s="11">
        <f t="shared" si="527"/>
        <v>8.6</v>
      </c>
      <c r="O744" s="11">
        <f t="shared" si="528"/>
        <v>20.358800000000002</v>
      </c>
      <c r="P744" s="54"/>
      <c r="Q744" s="39"/>
      <c r="R744" s="39"/>
      <c r="U744" s="41"/>
    </row>
    <row r="745" spans="1:21" s="40" customFormat="1" ht="16.8" customHeight="1">
      <c r="A745" s="33">
        <f>IF(H745&lt;&gt;"",1+MAX($A$5:A744),"")</f>
        <v>486</v>
      </c>
      <c r="B745" s="79"/>
      <c r="C745" s="69"/>
      <c r="D745" s="27" t="s">
        <v>503</v>
      </c>
      <c r="E745" s="35">
        <v>1</v>
      </c>
      <c r="F745" s="36">
        <v>0</v>
      </c>
      <c r="G745" s="37">
        <f t="shared" si="523"/>
        <v>1</v>
      </c>
      <c r="H745" s="38" t="s">
        <v>3</v>
      </c>
      <c r="I745" s="19">
        <v>15.295999999999999</v>
      </c>
      <c r="J745" s="19">
        <f t="shared" si="524"/>
        <v>15.295999999999999</v>
      </c>
      <c r="K745" s="31">
        <v>0.17199999999999999</v>
      </c>
      <c r="L745" s="19">
        <f t="shared" si="525"/>
        <v>50</v>
      </c>
      <c r="M745" s="32">
        <f t="shared" si="526"/>
        <v>0.17199999999999999</v>
      </c>
      <c r="N745" s="11">
        <f t="shared" si="527"/>
        <v>8.6</v>
      </c>
      <c r="O745" s="11">
        <f t="shared" si="528"/>
        <v>23.896000000000001</v>
      </c>
      <c r="P745" s="54"/>
      <c r="Q745" s="39"/>
      <c r="R745" s="39"/>
      <c r="U745" s="41"/>
    </row>
    <row r="746" spans="1:21" s="40" customFormat="1" ht="16.8" customHeight="1">
      <c r="A746" s="33">
        <f>IF(H746&lt;&gt;"",1+MAX($A$5:A745),"")</f>
        <v>487</v>
      </c>
      <c r="B746" s="79"/>
      <c r="C746" s="69"/>
      <c r="D746" s="27" t="s">
        <v>502</v>
      </c>
      <c r="E746" s="35">
        <v>1</v>
      </c>
      <c r="F746" s="36">
        <v>0</v>
      </c>
      <c r="G746" s="37">
        <f t="shared" si="523"/>
        <v>1</v>
      </c>
      <c r="H746" s="38" t="s">
        <v>3</v>
      </c>
      <c r="I746" s="19">
        <v>14.34</v>
      </c>
      <c r="J746" s="19">
        <f t="shared" si="524"/>
        <v>14.34</v>
      </c>
      <c r="K746" s="31">
        <v>0.156</v>
      </c>
      <c r="L746" s="19">
        <f t="shared" si="525"/>
        <v>50</v>
      </c>
      <c r="M746" s="32">
        <f t="shared" si="526"/>
        <v>0.156</v>
      </c>
      <c r="N746" s="11">
        <f t="shared" si="527"/>
        <v>7.8</v>
      </c>
      <c r="O746" s="11">
        <f t="shared" si="528"/>
        <v>22.14</v>
      </c>
      <c r="P746" s="54"/>
      <c r="Q746" s="39"/>
      <c r="R746" s="39"/>
      <c r="U746" s="41"/>
    </row>
    <row r="747" spans="1:21" s="40" customFormat="1" ht="16.8" customHeight="1">
      <c r="A747" s="33">
        <f>IF(H747&lt;&gt;"",1+MAX($A$5:A746),"")</f>
        <v>488</v>
      </c>
      <c r="B747" s="79"/>
      <c r="C747" s="69"/>
      <c r="D747" s="27" t="s">
        <v>501</v>
      </c>
      <c r="E747" s="35">
        <v>1</v>
      </c>
      <c r="F747" s="36">
        <v>0</v>
      </c>
      <c r="G747" s="37">
        <f t="shared" si="523"/>
        <v>1</v>
      </c>
      <c r="H747" s="38" t="s">
        <v>3</v>
      </c>
      <c r="I747" s="19">
        <v>23.422000000000001</v>
      </c>
      <c r="J747" s="19">
        <f t="shared" si="524"/>
        <v>23.422000000000001</v>
      </c>
      <c r="K747" s="31">
        <v>0.22</v>
      </c>
      <c r="L747" s="19">
        <f t="shared" si="525"/>
        <v>50</v>
      </c>
      <c r="M747" s="32">
        <f t="shared" si="526"/>
        <v>0.22</v>
      </c>
      <c r="N747" s="11">
        <f t="shared" si="527"/>
        <v>11</v>
      </c>
      <c r="O747" s="11">
        <f t="shared" si="528"/>
        <v>34.421999999999997</v>
      </c>
      <c r="P747" s="54"/>
      <c r="Q747" s="39"/>
      <c r="R747" s="39"/>
      <c r="U747" s="41"/>
    </row>
    <row r="748" spans="1:21" s="40" customFormat="1" ht="16.8" customHeight="1">
      <c r="A748" s="33">
        <f>IF(H748&lt;&gt;"",1+MAX($A$5:A747),"")</f>
        <v>489</v>
      </c>
      <c r="B748" s="79"/>
      <c r="C748" s="69"/>
      <c r="D748" s="27" t="s">
        <v>500</v>
      </c>
      <c r="E748" s="35">
        <v>1</v>
      </c>
      <c r="F748" s="36">
        <v>0</v>
      </c>
      <c r="G748" s="37">
        <f t="shared" si="523"/>
        <v>1</v>
      </c>
      <c r="H748" s="38" t="s">
        <v>3</v>
      </c>
      <c r="I748" s="19">
        <v>24.282399999999999</v>
      </c>
      <c r="J748" s="19">
        <f t="shared" si="524"/>
        <v>24.282399999999999</v>
      </c>
      <c r="K748" s="31">
        <v>0.24399999999999999</v>
      </c>
      <c r="L748" s="19">
        <f t="shared" si="525"/>
        <v>50</v>
      </c>
      <c r="M748" s="32">
        <f t="shared" si="526"/>
        <v>0.24399999999999999</v>
      </c>
      <c r="N748" s="11">
        <f t="shared" si="527"/>
        <v>12.2</v>
      </c>
      <c r="O748" s="11">
        <f t="shared" si="528"/>
        <v>36.482399999999998</v>
      </c>
      <c r="P748" s="54"/>
      <c r="Q748" s="39"/>
      <c r="R748" s="39"/>
      <c r="U748" s="41"/>
    </row>
    <row r="749" spans="1:21" s="40" customFormat="1" ht="16.8" customHeight="1">
      <c r="A749" s="33" t="str">
        <f>IF(H749&lt;&gt;"",1+MAX($A$5:A748),"")</f>
        <v/>
      </c>
      <c r="B749" s="79"/>
      <c r="C749" s="69"/>
      <c r="D749" s="27"/>
      <c r="E749" s="35"/>
      <c r="F749" s="36"/>
      <c r="G749" s="37"/>
      <c r="H749" s="38"/>
      <c r="I749" s="19"/>
      <c r="J749" s="19"/>
      <c r="K749" s="31"/>
      <c r="L749" s="19"/>
      <c r="M749" s="32"/>
      <c r="N749" s="11"/>
      <c r="O749" s="11"/>
      <c r="P749" s="54"/>
      <c r="Q749" s="39"/>
      <c r="R749" s="39"/>
      <c r="U749" s="41"/>
    </row>
    <row r="750" spans="1:21" s="40" customFormat="1" ht="16.8" customHeight="1">
      <c r="A750" s="33" t="str">
        <f>IF(H750&lt;&gt;"",1+MAX($A$5:A749),"")</f>
        <v/>
      </c>
      <c r="B750" s="79"/>
      <c r="C750" s="69"/>
      <c r="D750" s="94" t="s">
        <v>499</v>
      </c>
      <c r="E750" s="35"/>
      <c r="F750" s="36"/>
      <c r="G750" s="37"/>
      <c r="H750" s="38"/>
      <c r="I750" s="19"/>
      <c r="J750" s="19"/>
      <c r="K750" s="31"/>
      <c r="L750" s="19"/>
      <c r="M750" s="32"/>
      <c r="N750" s="11"/>
      <c r="O750" s="11"/>
      <c r="P750" s="54"/>
      <c r="Q750" s="39"/>
      <c r="R750" s="39"/>
      <c r="U750" s="41"/>
    </row>
    <row r="751" spans="1:21" s="40" customFormat="1" ht="16.8" customHeight="1">
      <c r="A751" s="33">
        <f>IF(H751&lt;&gt;"",1+MAX($A$5:A750),"")</f>
        <v>490</v>
      </c>
      <c r="B751" s="79"/>
      <c r="C751" s="69"/>
      <c r="D751" s="27" t="s">
        <v>498</v>
      </c>
      <c r="E751" s="35">
        <v>2</v>
      </c>
      <c r="F751" s="36">
        <v>0</v>
      </c>
      <c r="G751" s="37">
        <f t="shared" ref="G751:G756" si="529">(1+F751)*E751</f>
        <v>2</v>
      </c>
      <c r="H751" s="38" t="s">
        <v>3</v>
      </c>
      <c r="I751" s="19">
        <v>62.713599999999992</v>
      </c>
      <c r="J751" s="19">
        <f t="shared" ref="J751:J756" si="530">I751*G751</f>
        <v>125.42719999999998</v>
      </c>
      <c r="K751" s="31">
        <v>0.46</v>
      </c>
      <c r="L751" s="19">
        <f t="shared" ref="L751:L756" si="531">$O$708</f>
        <v>50</v>
      </c>
      <c r="M751" s="32">
        <f t="shared" ref="M751:M756" si="532">K751*G751</f>
        <v>0.92</v>
      </c>
      <c r="N751" s="11">
        <f t="shared" ref="N751:N756" si="533">M751*L751</f>
        <v>46</v>
      </c>
      <c r="O751" s="11">
        <f t="shared" ref="O751:O756" si="534">N751+J751</f>
        <v>171.42719999999997</v>
      </c>
      <c r="P751" s="54"/>
      <c r="Q751" s="39"/>
      <c r="R751" s="39"/>
      <c r="U751" s="41"/>
    </row>
    <row r="752" spans="1:21" s="40" customFormat="1" ht="16.8" customHeight="1">
      <c r="A752" s="33">
        <f>IF(H752&lt;&gt;"",1+MAX($A$5:A751),"")</f>
        <v>491</v>
      </c>
      <c r="B752" s="79"/>
      <c r="C752" s="69"/>
      <c r="D752" s="27" t="s">
        <v>497</v>
      </c>
      <c r="E752" s="35">
        <v>1</v>
      </c>
      <c r="F752" s="36">
        <v>0</v>
      </c>
      <c r="G752" s="37">
        <f t="shared" si="529"/>
        <v>1</v>
      </c>
      <c r="H752" s="38" t="s">
        <v>3</v>
      </c>
      <c r="I752" s="19">
        <v>74.567999999999998</v>
      </c>
      <c r="J752" s="19">
        <f t="shared" si="530"/>
        <v>74.567999999999998</v>
      </c>
      <c r="K752" s="31">
        <v>0.46</v>
      </c>
      <c r="L752" s="19">
        <f t="shared" si="531"/>
        <v>50</v>
      </c>
      <c r="M752" s="32">
        <f t="shared" si="532"/>
        <v>0.46</v>
      </c>
      <c r="N752" s="11">
        <f t="shared" si="533"/>
        <v>23</v>
      </c>
      <c r="O752" s="11">
        <f t="shared" si="534"/>
        <v>97.567999999999998</v>
      </c>
      <c r="P752" s="54"/>
      <c r="Q752" s="39"/>
      <c r="R752" s="39"/>
      <c r="U752" s="41"/>
    </row>
    <row r="753" spans="1:21" s="40" customFormat="1" ht="16.8" customHeight="1">
      <c r="A753" s="33">
        <f>IF(H753&lt;&gt;"",1+MAX($A$5:A752),"")</f>
        <v>492</v>
      </c>
      <c r="B753" s="79"/>
      <c r="C753" s="69"/>
      <c r="D753" s="27" t="s">
        <v>496</v>
      </c>
      <c r="E753" s="35">
        <v>1</v>
      </c>
      <c r="F753" s="36">
        <v>0</v>
      </c>
      <c r="G753" s="37">
        <f t="shared" si="529"/>
        <v>1</v>
      </c>
      <c r="H753" s="38" t="s">
        <v>3</v>
      </c>
      <c r="I753" s="19">
        <v>71.030799999999999</v>
      </c>
      <c r="J753" s="19">
        <f t="shared" si="530"/>
        <v>71.030799999999999</v>
      </c>
      <c r="K753" s="31">
        <v>0.46</v>
      </c>
      <c r="L753" s="19">
        <f t="shared" si="531"/>
        <v>50</v>
      </c>
      <c r="M753" s="32">
        <f t="shared" si="532"/>
        <v>0.46</v>
      </c>
      <c r="N753" s="11">
        <f t="shared" si="533"/>
        <v>23</v>
      </c>
      <c r="O753" s="11">
        <f t="shared" si="534"/>
        <v>94.030799999999999</v>
      </c>
      <c r="P753" s="54"/>
      <c r="Q753" s="39"/>
      <c r="R753" s="39"/>
      <c r="U753" s="41"/>
    </row>
    <row r="754" spans="1:21" s="40" customFormat="1" ht="16.8" customHeight="1">
      <c r="A754" s="33">
        <f>IF(H754&lt;&gt;"",1+MAX($A$5:A753),"")</f>
        <v>493</v>
      </c>
      <c r="B754" s="79"/>
      <c r="C754" s="69"/>
      <c r="D754" s="27" t="s">
        <v>495</v>
      </c>
      <c r="E754" s="35">
        <v>2</v>
      </c>
      <c r="F754" s="36">
        <v>0</v>
      </c>
      <c r="G754" s="37">
        <f t="shared" si="529"/>
        <v>2</v>
      </c>
      <c r="H754" s="38" t="s">
        <v>3</v>
      </c>
      <c r="I754" s="19">
        <v>71.030799999999999</v>
      </c>
      <c r="J754" s="19">
        <f t="shared" si="530"/>
        <v>142.0616</v>
      </c>
      <c r="K754" s="31">
        <v>0.46</v>
      </c>
      <c r="L754" s="19">
        <f t="shared" si="531"/>
        <v>50</v>
      </c>
      <c r="M754" s="32">
        <f t="shared" si="532"/>
        <v>0.92</v>
      </c>
      <c r="N754" s="11">
        <f t="shared" si="533"/>
        <v>46</v>
      </c>
      <c r="O754" s="11">
        <f t="shared" si="534"/>
        <v>188.0616</v>
      </c>
      <c r="P754" s="54"/>
      <c r="Q754" s="39"/>
      <c r="R754" s="39"/>
      <c r="U754" s="41"/>
    </row>
    <row r="755" spans="1:21" s="40" customFormat="1" ht="16.8" customHeight="1">
      <c r="A755" s="33">
        <f>IF(H755&lt;&gt;"",1+MAX($A$5:A754),"")</f>
        <v>494</v>
      </c>
      <c r="B755" s="79"/>
      <c r="C755" s="69"/>
      <c r="D755" s="27" t="s">
        <v>494</v>
      </c>
      <c r="E755" s="35">
        <v>3</v>
      </c>
      <c r="F755" s="36">
        <v>0</v>
      </c>
      <c r="G755" s="37">
        <f t="shared" si="529"/>
        <v>3</v>
      </c>
      <c r="H755" s="38" t="s">
        <v>3</v>
      </c>
      <c r="I755" s="19">
        <v>22.943999999999999</v>
      </c>
      <c r="J755" s="19">
        <f t="shared" si="530"/>
        <v>68.831999999999994</v>
      </c>
      <c r="K755" s="31">
        <v>0.35</v>
      </c>
      <c r="L755" s="19">
        <f t="shared" si="531"/>
        <v>50</v>
      </c>
      <c r="M755" s="32">
        <f t="shared" si="532"/>
        <v>1.0499999999999998</v>
      </c>
      <c r="N755" s="11">
        <f t="shared" si="533"/>
        <v>52.499999999999993</v>
      </c>
      <c r="O755" s="11">
        <f t="shared" si="534"/>
        <v>121.33199999999999</v>
      </c>
      <c r="P755" s="54"/>
      <c r="Q755" s="39"/>
      <c r="R755" s="39"/>
      <c r="U755" s="41"/>
    </row>
    <row r="756" spans="1:21" s="40" customFormat="1" ht="16.8" customHeight="1">
      <c r="A756" s="33">
        <f>IF(H756&lt;&gt;"",1+MAX($A$5:A755),"")</f>
        <v>495</v>
      </c>
      <c r="B756" s="79"/>
      <c r="C756" s="69"/>
      <c r="D756" s="27" t="s">
        <v>493</v>
      </c>
      <c r="E756" s="35">
        <v>6</v>
      </c>
      <c r="F756" s="36">
        <v>0</v>
      </c>
      <c r="G756" s="37">
        <f t="shared" si="529"/>
        <v>6</v>
      </c>
      <c r="H756" s="38" t="s">
        <v>3</v>
      </c>
      <c r="I756" s="19">
        <v>27.437199999999997</v>
      </c>
      <c r="J756" s="19">
        <f t="shared" si="530"/>
        <v>164.6232</v>
      </c>
      <c r="K756" s="31">
        <v>0.35</v>
      </c>
      <c r="L756" s="19">
        <f t="shared" si="531"/>
        <v>50</v>
      </c>
      <c r="M756" s="32">
        <f t="shared" si="532"/>
        <v>2.0999999999999996</v>
      </c>
      <c r="N756" s="11">
        <f t="shared" si="533"/>
        <v>104.99999999999999</v>
      </c>
      <c r="O756" s="11">
        <f t="shared" si="534"/>
        <v>269.6232</v>
      </c>
      <c r="P756" s="54"/>
      <c r="Q756" s="39"/>
      <c r="R756" s="39"/>
      <c r="U756" s="41"/>
    </row>
    <row r="757" spans="1:21" s="40" customFormat="1" ht="16.8" customHeight="1">
      <c r="A757" s="33" t="str">
        <f>IF(H757&lt;&gt;"",1+MAX($A$5:A756),"")</f>
        <v/>
      </c>
      <c r="B757" s="79"/>
      <c r="C757" s="69"/>
      <c r="D757" s="27"/>
      <c r="E757" s="35"/>
      <c r="F757" s="36"/>
      <c r="G757" s="37"/>
      <c r="H757" s="38"/>
      <c r="I757" s="19"/>
      <c r="J757" s="19"/>
      <c r="K757" s="31"/>
      <c r="L757" s="19"/>
      <c r="M757" s="32"/>
      <c r="N757" s="11"/>
      <c r="O757" s="11"/>
      <c r="P757" s="54"/>
      <c r="Q757" s="39"/>
      <c r="R757" s="39"/>
      <c r="U757" s="41"/>
    </row>
    <row r="758" spans="1:21" s="40" customFormat="1" ht="16.8" customHeight="1">
      <c r="A758" s="33" t="str">
        <f>IF(H758&lt;&gt;"",1+MAX($A$5:A757),"")</f>
        <v/>
      </c>
      <c r="B758" s="79"/>
      <c r="C758" s="69"/>
      <c r="D758" s="114" t="s">
        <v>492</v>
      </c>
      <c r="E758" s="35"/>
      <c r="F758" s="36"/>
      <c r="G758" s="37"/>
      <c r="H758" s="38"/>
      <c r="I758" s="19"/>
      <c r="J758" s="19"/>
      <c r="K758" s="31"/>
      <c r="L758" s="19"/>
      <c r="M758" s="32"/>
      <c r="N758" s="11"/>
      <c r="O758" s="11"/>
      <c r="P758" s="54"/>
      <c r="Q758" s="39"/>
      <c r="R758" s="39"/>
      <c r="U758" s="41"/>
    </row>
    <row r="759" spans="1:21" s="40" customFormat="1" ht="16.8" customHeight="1">
      <c r="A759" s="33" t="str">
        <f>IF(H759&lt;&gt;"",1+MAX($A$5:A758),"")</f>
        <v/>
      </c>
      <c r="B759" s="79"/>
      <c r="C759" s="69"/>
      <c r="D759" s="94" t="s">
        <v>491</v>
      </c>
      <c r="E759" s="35"/>
      <c r="F759" s="36"/>
      <c r="G759" s="37"/>
      <c r="H759" s="38"/>
      <c r="I759" s="19"/>
      <c r="J759" s="19"/>
      <c r="K759" s="31"/>
      <c r="L759" s="19"/>
      <c r="M759" s="32"/>
      <c r="N759" s="11"/>
      <c r="O759" s="11"/>
      <c r="P759" s="54"/>
      <c r="Q759" s="39"/>
      <c r="R759" s="39"/>
      <c r="U759" s="41"/>
    </row>
    <row r="760" spans="1:21" s="40" customFormat="1" ht="16.8" customHeight="1">
      <c r="A760" s="33">
        <f>IF(H760&lt;&gt;"",1+MAX($A$5:A759),"")</f>
        <v>496</v>
      </c>
      <c r="B760" s="79"/>
      <c r="C760" s="69"/>
      <c r="D760" s="27" t="s">
        <v>490</v>
      </c>
      <c r="E760" s="35">
        <v>1</v>
      </c>
      <c r="F760" s="36">
        <v>0</v>
      </c>
      <c r="G760" s="37">
        <f>(1+F760)*E760</f>
        <v>1</v>
      </c>
      <c r="H760" s="38" t="s">
        <v>3</v>
      </c>
      <c r="I760" s="19">
        <v>4359.3599999999997</v>
      </c>
      <c r="J760" s="19">
        <f t="shared" ref="J760:J762" si="535">I760*G760</f>
        <v>4359.3599999999997</v>
      </c>
      <c r="K760" s="31">
        <v>8</v>
      </c>
      <c r="L760" s="19">
        <f t="shared" ref="L760:L762" si="536">$O$708</f>
        <v>50</v>
      </c>
      <c r="M760" s="32">
        <f t="shared" ref="M760:M762" si="537">K760*G760</f>
        <v>8</v>
      </c>
      <c r="N760" s="11">
        <f t="shared" ref="N760:N762" si="538">M760*L760</f>
        <v>400</v>
      </c>
      <c r="O760" s="11">
        <f t="shared" ref="O760:O762" si="539">N760+J760</f>
        <v>4759.3599999999997</v>
      </c>
      <c r="P760" s="54"/>
      <c r="Q760" s="39"/>
      <c r="R760" s="39"/>
      <c r="U760" s="41"/>
    </row>
    <row r="761" spans="1:21" s="40" customFormat="1" ht="16.8" customHeight="1">
      <c r="A761" s="33">
        <f>IF(H761&lt;&gt;"",1+MAX($A$5:A760),"")</f>
        <v>497</v>
      </c>
      <c r="B761" s="79"/>
      <c r="C761" s="69"/>
      <c r="D761" s="27" t="s">
        <v>489</v>
      </c>
      <c r="E761" s="35">
        <v>1</v>
      </c>
      <c r="F761" s="36">
        <v>0</v>
      </c>
      <c r="G761" s="37">
        <f>(1+F761)*E761</f>
        <v>1</v>
      </c>
      <c r="H761" s="38" t="s">
        <v>3</v>
      </c>
      <c r="I761" s="19">
        <v>3288.64</v>
      </c>
      <c r="J761" s="19">
        <f t="shared" si="535"/>
        <v>3288.64</v>
      </c>
      <c r="K761" s="31">
        <v>8</v>
      </c>
      <c r="L761" s="19">
        <f t="shared" si="536"/>
        <v>50</v>
      </c>
      <c r="M761" s="32">
        <f t="shared" si="537"/>
        <v>8</v>
      </c>
      <c r="N761" s="11">
        <f t="shared" si="538"/>
        <v>400</v>
      </c>
      <c r="O761" s="11">
        <f t="shared" si="539"/>
        <v>3688.64</v>
      </c>
      <c r="P761" s="54"/>
      <c r="Q761" s="39"/>
      <c r="R761" s="39"/>
      <c r="U761" s="41"/>
    </row>
    <row r="762" spans="1:21" s="40" customFormat="1" ht="16.8" customHeight="1">
      <c r="A762" s="33">
        <f>IF(H762&lt;&gt;"",1+MAX($A$5:A761),"")</f>
        <v>498</v>
      </c>
      <c r="B762" s="79"/>
      <c r="C762" s="69"/>
      <c r="D762" s="27" t="s">
        <v>488</v>
      </c>
      <c r="E762" s="35">
        <v>1</v>
      </c>
      <c r="F762" s="36">
        <v>0</v>
      </c>
      <c r="G762" s="37">
        <f>(1+F762)*E762</f>
        <v>1</v>
      </c>
      <c r="H762" s="38" t="s">
        <v>3</v>
      </c>
      <c r="I762" s="19">
        <v>6271.36</v>
      </c>
      <c r="J762" s="19">
        <f t="shared" si="535"/>
        <v>6271.36</v>
      </c>
      <c r="K762" s="31">
        <v>8</v>
      </c>
      <c r="L762" s="19">
        <f t="shared" si="536"/>
        <v>50</v>
      </c>
      <c r="M762" s="32">
        <f t="shared" si="537"/>
        <v>8</v>
      </c>
      <c r="N762" s="11">
        <f t="shared" si="538"/>
        <v>400</v>
      </c>
      <c r="O762" s="11">
        <f t="shared" si="539"/>
        <v>6671.36</v>
      </c>
      <c r="P762" s="54"/>
      <c r="Q762" s="39"/>
      <c r="R762" s="39"/>
      <c r="U762" s="41"/>
    </row>
    <row r="763" spans="1:21" s="40" customFormat="1" ht="16.8" customHeight="1">
      <c r="A763" s="33" t="str">
        <f>IF(H763&lt;&gt;"",1+MAX($A$5:A762),"")</f>
        <v/>
      </c>
      <c r="B763" s="79"/>
      <c r="C763" s="69"/>
      <c r="D763" s="27"/>
      <c r="E763" s="35"/>
      <c r="F763" s="36"/>
      <c r="G763" s="37"/>
      <c r="H763" s="38"/>
      <c r="I763" s="19"/>
      <c r="J763" s="19"/>
      <c r="K763" s="31"/>
      <c r="L763" s="19"/>
      <c r="M763" s="32"/>
      <c r="N763" s="11"/>
      <c r="O763" s="11"/>
      <c r="P763" s="54"/>
      <c r="Q763" s="39"/>
      <c r="R763" s="39"/>
      <c r="U763" s="41"/>
    </row>
    <row r="764" spans="1:21" s="40" customFormat="1" ht="16.8" customHeight="1">
      <c r="A764" s="33" t="str">
        <f>IF(H764&lt;&gt;"",1+MAX($A$5:A763),"")</f>
        <v/>
      </c>
      <c r="B764" s="79"/>
      <c r="C764" s="69"/>
      <c r="D764" s="94" t="s">
        <v>487</v>
      </c>
      <c r="E764" s="35"/>
      <c r="F764" s="36"/>
      <c r="G764" s="37"/>
      <c r="H764" s="38"/>
      <c r="I764" s="19"/>
      <c r="J764" s="19"/>
      <c r="K764" s="31"/>
      <c r="L764" s="19"/>
      <c r="M764" s="32"/>
      <c r="N764" s="11"/>
      <c r="O764" s="11"/>
      <c r="P764" s="54"/>
      <c r="Q764" s="39"/>
      <c r="R764" s="39"/>
      <c r="U764" s="41"/>
    </row>
    <row r="765" spans="1:21" s="40" customFormat="1" ht="16.8" customHeight="1">
      <c r="A765" s="33">
        <f>IF(H765&lt;&gt;"",1+MAX($A$5:A764),"")</f>
        <v>499</v>
      </c>
      <c r="B765" s="79"/>
      <c r="C765" s="69"/>
      <c r="D765" s="27" t="s">
        <v>486</v>
      </c>
      <c r="E765" s="35">
        <v>1</v>
      </c>
      <c r="F765" s="36">
        <v>0</v>
      </c>
      <c r="G765" s="37">
        <f>(1+F765)*E765</f>
        <v>1</v>
      </c>
      <c r="H765" s="38" t="s">
        <v>3</v>
      </c>
      <c r="I765" s="19">
        <v>2638.56</v>
      </c>
      <c r="J765" s="19">
        <f t="shared" ref="J765:J767" si="540">I765*G765</f>
        <v>2638.56</v>
      </c>
      <c r="K765" s="31">
        <v>4.5999999999999996</v>
      </c>
      <c r="L765" s="19">
        <f t="shared" ref="L765:L767" si="541">$O$708</f>
        <v>50</v>
      </c>
      <c r="M765" s="32">
        <f t="shared" ref="M765:M767" si="542">K765*G765</f>
        <v>4.5999999999999996</v>
      </c>
      <c r="N765" s="11">
        <f t="shared" ref="N765:N767" si="543">M765*L765</f>
        <v>229.99999999999997</v>
      </c>
      <c r="O765" s="11">
        <f t="shared" ref="O765:O767" si="544">N765+J765</f>
        <v>2868.56</v>
      </c>
      <c r="P765" s="54"/>
      <c r="Q765" s="39"/>
      <c r="R765" s="39"/>
      <c r="U765" s="41"/>
    </row>
    <row r="766" spans="1:21" s="40" customFormat="1" ht="16.8" customHeight="1">
      <c r="A766" s="33">
        <f>IF(H766&lt;&gt;"",1+MAX($A$5:A765),"")</f>
        <v>500</v>
      </c>
      <c r="B766" s="79"/>
      <c r="C766" s="69"/>
      <c r="D766" s="27" t="s">
        <v>485</v>
      </c>
      <c r="E766" s="35">
        <v>1</v>
      </c>
      <c r="F766" s="36">
        <v>0</v>
      </c>
      <c r="G766" s="37">
        <f>(1+F766)*E766</f>
        <v>1</v>
      </c>
      <c r="H766" s="38" t="s">
        <v>3</v>
      </c>
      <c r="I766" s="19">
        <v>2342.1999999999998</v>
      </c>
      <c r="J766" s="19">
        <f t="shared" si="540"/>
        <v>2342.1999999999998</v>
      </c>
      <c r="K766" s="31">
        <v>4.5999999999999996</v>
      </c>
      <c r="L766" s="19">
        <f t="shared" si="541"/>
        <v>50</v>
      </c>
      <c r="M766" s="32">
        <f t="shared" si="542"/>
        <v>4.5999999999999996</v>
      </c>
      <c r="N766" s="11">
        <f t="shared" si="543"/>
        <v>229.99999999999997</v>
      </c>
      <c r="O766" s="11">
        <f t="shared" si="544"/>
        <v>2572.1999999999998</v>
      </c>
      <c r="P766" s="54"/>
      <c r="Q766" s="39"/>
      <c r="R766" s="39"/>
      <c r="U766" s="41"/>
    </row>
    <row r="767" spans="1:21" s="40" customFormat="1" ht="16.8" customHeight="1">
      <c r="A767" s="33">
        <f>IF(H767&lt;&gt;"",1+MAX($A$5:A766),"")</f>
        <v>501</v>
      </c>
      <c r="B767" s="79"/>
      <c r="C767" s="69"/>
      <c r="D767" s="27" t="s">
        <v>484</v>
      </c>
      <c r="E767" s="35">
        <v>1</v>
      </c>
      <c r="F767" s="36">
        <v>0</v>
      </c>
      <c r="G767" s="37">
        <f>(1+F767)*E767</f>
        <v>1</v>
      </c>
      <c r="H767" s="38" t="s">
        <v>3</v>
      </c>
      <c r="I767" s="19">
        <v>3001.8399999999997</v>
      </c>
      <c r="J767" s="19">
        <f t="shared" si="540"/>
        <v>3001.8399999999997</v>
      </c>
      <c r="K767" s="31">
        <v>4.5999999999999996</v>
      </c>
      <c r="L767" s="19">
        <f t="shared" si="541"/>
        <v>50</v>
      </c>
      <c r="M767" s="32">
        <f t="shared" si="542"/>
        <v>4.5999999999999996</v>
      </c>
      <c r="N767" s="11">
        <f t="shared" si="543"/>
        <v>229.99999999999997</v>
      </c>
      <c r="O767" s="11">
        <f t="shared" si="544"/>
        <v>3231.8399999999997</v>
      </c>
      <c r="P767" s="54"/>
      <c r="Q767" s="39"/>
      <c r="R767" s="39"/>
      <c r="U767" s="41"/>
    </row>
    <row r="768" spans="1:21" s="40" customFormat="1" ht="16.8" customHeight="1">
      <c r="A768" s="33" t="str">
        <f>IF(H768&lt;&gt;"",1+MAX($A$5:A767),"")</f>
        <v/>
      </c>
      <c r="B768" s="79"/>
      <c r="C768" s="69"/>
      <c r="D768" s="27"/>
      <c r="E768" s="35"/>
      <c r="F768" s="36"/>
      <c r="G768" s="37"/>
      <c r="H768" s="38"/>
      <c r="I768" s="19"/>
      <c r="J768" s="19"/>
      <c r="K768" s="31"/>
      <c r="L768" s="19"/>
      <c r="M768" s="32"/>
      <c r="N768" s="11"/>
      <c r="O768" s="11"/>
      <c r="P768" s="54"/>
      <c r="Q768" s="39"/>
      <c r="R768" s="39"/>
      <c r="U768" s="41"/>
    </row>
    <row r="769" spans="1:21" s="40" customFormat="1" ht="16.8" customHeight="1">
      <c r="A769" s="33" t="str">
        <f>IF(H769&lt;&gt;"",1+MAX($A$5:A768),"")</f>
        <v/>
      </c>
      <c r="B769" s="79"/>
      <c r="C769" s="69"/>
      <c r="D769" s="94" t="s">
        <v>65</v>
      </c>
      <c r="E769" s="35"/>
      <c r="F769" s="36"/>
      <c r="G769" s="37"/>
      <c r="H769" s="38"/>
      <c r="I769" s="19"/>
      <c r="J769" s="19"/>
      <c r="K769" s="31"/>
      <c r="L769" s="19"/>
      <c r="M769" s="32"/>
      <c r="N769" s="11"/>
      <c r="O769" s="11"/>
      <c r="P769" s="54"/>
      <c r="Q769" s="39"/>
      <c r="R769" s="39"/>
      <c r="U769" s="41"/>
    </row>
    <row r="770" spans="1:21" s="40" customFormat="1" ht="16.8" customHeight="1">
      <c r="A770" s="33">
        <f>IF(H770&lt;&gt;"",1+MAX($A$5:A769),"")</f>
        <v>502</v>
      </c>
      <c r="B770" s="79"/>
      <c r="C770" s="69"/>
      <c r="D770" s="27" t="s">
        <v>483</v>
      </c>
      <c r="E770" s="35">
        <v>4</v>
      </c>
      <c r="F770" s="36">
        <v>0</v>
      </c>
      <c r="G770" s="37">
        <f>(1+F770)*E770</f>
        <v>4</v>
      </c>
      <c r="H770" s="38" t="s">
        <v>3</v>
      </c>
      <c r="I770" s="19">
        <v>274.37200000000001</v>
      </c>
      <c r="J770" s="19">
        <f t="shared" ref="J770:J771" si="545">I770*G770</f>
        <v>1097.4880000000001</v>
      </c>
      <c r="K770" s="31">
        <v>2</v>
      </c>
      <c r="L770" s="19">
        <f t="shared" ref="L770:L771" si="546">$O$708</f>
        <v>50</v>
      </c>
      <c r="M770" s="32">
        <f t="shared" ref="M770:M771" si="547">K770*G770</f>
        <v>8</v>
      </c>
      <c r="N770" s="11">
        <f t="shared" ref="N770:N771" si="548">M770*L770</f>
        <v>400</v>
      </c>
      <c r="O770" s="11">
        <f t="shared" ref="O770:O771" si="549">N770+J770</f>
        <v>1497.4880000000001</v>
      </c>
      <c r="P770" s="54"/>
      <c r="Q770" s="39"/>
      <c r="R770" s="39"/>
      <c r="U770" s="41"/>
    </row>
    <row r="771" spans="1:21" s="40" customFormat="1" ht="16.8" customHeight="1">
      <c r="A771" s="33">
        <f>IF(H771&lt;&gt;"",1+MAX($A$5:A770),"")</f>
        <v>503</v>
      </c>
      <c r="B771" s="79"/>
      <c r="C771" s="69"/>
      <c r="D771" s="27" t="s">
        <v>482</v>
      </c>
      <c r="E771" s="35">
        <v>1</v>
      </c>
      <c r="F771" s="36">
        <v>0</v>
      </c>
      <c r="G771" s="37">
        <f>(1+F771)*E771</f>
        <v>1</v>
      </c>
      <c r="H771" s="38" t="s">
        <v>3</v>
      </c>
      <c r="I771" s="19">
        <v>338.42399999999998</v>
      </c>
      <c r="J771" s="19">
        <f t="shared" si="545"/>
        <v>338.42399999999998</v>
      </c>
      <c r="K771" s="31">
        <v>2</v>
      </c>
      <c r="L771" s="19">
        <f t="shared" si="546"/>
        <v>50</v>
      </c>
      <c r="M771" s="32">
        <f t="shared" si="547"/>
        <v>2</v>
      </c>
      <c r="N771" s="11">
        <f t="shared" si="548"/>
        <v>100</v>
      </c>
      <c r="O771" s="11">
        <f t="shared" si="549"/>
        <v>438.42399999999998</v>
      </c>
      <c r="P771" s="54"/>
      <c r="Q771" s="39"/>
      <c r="R771" s="39"/>
      <c r="U771" s="41"/>
    </row>
    <row r="772" spans="1:21" s="40" customFormat="1" ht="16.8" customHeight="1">
      <c r="A772" s="33" t="str">
        <f>IF(H772&lt;&gt;"",1+MAX($A$5:A771),"")</f>
        <v/>
      </c>
      <c r="B772" s="79"/>
      <c r="C772" s="69"/>
      <c r="D772" s="27"/>
      <c r="E772" s="35"/>
      <c r="F772" s="36"/>
      <c r="G772" s="37"/>
      <c r="H772" s="38"/>
      <c r="I772" s="19"/>
      <c r="J772" s="19"/>
      <c r="K772" s="31"/>
      <c r="L772" s="19"/>
      <c r="M772" s="32"/>
      <c r="N772" s="11"/>
      <c r="O772" s="11"/>
      <c r="P772" s="54"/>
      <c r="Q772" s="39"/>
      <c r="R772" s="39"/>
      <c r="U772" s="41"/>
    </row>
    <row r="773" spans="1:21" s="40" customFormat="1" ht="16.8" customHeight="1">
      <c r="A773" s="33" t="str">
        <f>IF(H773&lt;&gt;"",1+MAX($A$5:A772),"")</f>
        <v/>
      </c>
      <c r="B773" s="79"/>
      <c r="C773" s="69"/>
      <c r="D773" s="114" t="s">
        <v>64</v>
      </c>
      <c r="E773" s="35"/>
      <c r="F773" s="36"/>
      <c r="G773" s="37"/>
      <c r="H773" s="38"/>
      <c r="I773" s="19"/>
      <c r="J773" s="19"/>
      <c r="K773" s="31"/>
      <c r="L773" s="19"/>
      <c r="M773" s="32"/>
      <c r="N773" s="11"/>
      <c r="O773" s="11"/>
      <c r="P773" s="54"/>
      <c r="Q773" s="39"/>
      <c r="R773" s="39"/>
      <c r="U773" s="41"/>
    </row>
    <row r="774" spans="1:21" s="40" customFormat="1" ht="16.8" customHeight="1">
      <c r="A774" s="33">
        <f>IF(H774&lt;&gt;"",1+MAX($A$5:A773),"")</f>
        <v>504</v>
      </c>
      <c r="B774" s="79"/>
      <c r="C774" s="69"/>
      <c r="D774" s="27" t="s">
        <v>481</v>
      </c>
      <c r="E774" s="35">
        <v>3</v>
      </c>
      <c r="F774" s="36">
        <v>0</v>
      </c>
      <c r="G774" s="37">
        <f>(1+F774)*E774</f>
        <v>3</v>
      </c>
      <c r="H774" s="38" t="s">
        <v>3</v>
      </c>
      <c r="I774" s="19">
        <v>139.57599999999999</v>
      </c>
      <c r="J774" s="19">
        <f t="shared" ref="J774:J776" si="550">I774*G774</f>
        <v>418.72799999999995</v>
      </c>
      <c r="K774" s="31">
        <v>2</v>
      </c>
      <c r="L774" s="19">
        <f t="shared" ref="L774:L776" si="551">$O$708</f>
        <v>50</v>
      </c>
      <c r="M774" s="32">
        <f t="shared" ref="M774:M776" si="552">K774*G774</f>
        <v>6</v>
      </c>
      <c r="N774" s="11">
        <f t="shared" ref="N774:N776" si="553">M774*L774</f>
        <v>300</v>
      </c>
      <c r="O774" s="11">
        <f t="shared" ref="O774:O776" si="554">N774+J774</f>
        <v>718.72799999999995</v>
      </c>
      <c r="P774" s="54"/>
      <c r="Q774" s="39"/>
      <c r="R774" s="39"/>
      <c r="U774" s="41"/>
    </row>
    <row r="775" spans="1:21" s="40" customFormat="1" ht="16.8" customHeight="1">
      <c r="A775" s="33">
        <f>IF(H775&lt;&gt;"",1+MAX($A$5:A774),"")</f>
        <v>505</v>
      </c>
      <c r="B775" s="79"/>
      <c r="C775" s="69"/>
      <c r="D775" s="27" t="s">
        <v>480</v>
      </c>
      <c r="E775" s="35">
        <v>3</v>
      </c>
      <c r="F775" s="36">
        <v>0</v>
      </c>
      <c r="G775" s="37">
        <f>(1+F775)*E775</f>
        <v>3</v>
      </c>
      <c r="H775" s="38" t="s">
        <v>3</v>
      </c>
      <c r="I775" s="19">
        <v>72.655999999999992</v>
      </c>
      <c r="J775" s="19">
        <f t="shared" si="550"/>
        <v>217.96799999999996</v>
      </c>
      <c r="K775" s="31">
        <v>1.1200000000000001</v>
      </c>
      <c r="L775" s="19">
        <f t="shared" si="551"/>
        <v>50</v>
      </c>
      <c r="M775" s="32">
        <f t="shared" si="552"/>
        <v>3.3600000000000003</v>
      </c>
      <c r="N775" s="11">
        <f t="shared" si="553"/>
        <v>168.00000000000003</v>
      </c>
      <c r="O775" s="11">
        <f t="shared" si="554"/>
        <v>385.96799999999996</v>
      </c>
      <c r="P775" s="54"/>
      <c r="Q775" s="39"/>
      <c r="R775" s="39"/>
      <c r="U775" s="41"/>
    </row>
    <row r="776" spans="1:21" s="40" customFormat="1" ht="16.8" customHeight="1">
      <c r="A776" s="33">
        <f>IF(H776&lt;&gt;"",1+MAX($A$5:A775),"")</f>
        <v>506</v>
      </c>
      <c r="B776" s="79"/>
      <c r="C776" s="69"/>
      <c r="D776" s="27" t="s">
        <v>479</v>
      </c>
      <c r="E776" s="35">
        <v>3</v>
      </c>
      <c r="F776" s="36">
        <v>0</v>
      </c>
      <c r="G776" s="37">
        <f>(1+F776)*E776</f>
        <v>3</v>
      </c>
      <c r="H776" s="38" t="s">
        <v>3</v>
      </c>
      <c r="I776" s="19">
        <v>313.56799999999998</v>
      </c>
      <c r="J776" s="19">
        <f t="shared" si="550"/>
        <v>940.70399999999995</v>
      </c>
      <c r="K776" s="31">
        <v>1</v>
      </c>
      <c r="L776" s="19">
        <f t="shared" si="551"/>
        <v>50</v>
      </c>
      <c r="M776" s="32">
        <f t="shared" si="552"/>
        <v>3</v>
      </c>
      <c r="N776" s="11">
        <f t="shared" si="553"/>
        <v>150</v>
      </c>
      <c r="O776" s="11">
        <f t="shared" si="554"/>
        <v>1090.704</v>
      </c>
      <c r="P776" s="54"/>
      <c r="Q776" s="39"/>
      <c r="R776" s="39"/>
      <c r="U776" s="41"/>
    </row>
    <row r="777" spans="1:21" s="40" customFormat="1" ht="16.8" customHeight="1">
      <c r="A777" s="33" t="str">
        <f>IF(H777&lt;&gt;"",1+MAX($A$5:A776),"")</f>
        <v/>
      </c>
      <c r="B777" s="79"/>
      <c r="C777" s="69"/>
      <c r="D777" s="27"/>
      <c r="E777" s="35"/>
      <c r="F777" s="36"/>
      <c r="G777" s="37"/>
      <c r="H777" s="38"/>
      <c r="I777" s="19"/>
      <c r="J777" s="19"/>
      <c r="K777" s="31"/>
      <c r="L777" s="19"/>
      <c r="M777" s="32"/>
      <c r="N777" s="11"/>
      <c r="O777" s="11"/>
      <c r="P777" s="54"/>
      <c r="Q777" s="39"/>
      <c r="R777" s="39"/>
      <c r="U777" s="41"/>
    </row>
    <row r="778" spans="1:21" s="40" customFormat="1" ht="16.8" customHeight="1">
      <c r="A778" s="33" t="str">
        <f>IF(H778&lt;&gt;"",1+MAX($A$5:A777),"")</f>
        <v/>
      </c>
      <c r="B778" s="79"/>
      <c r="C778" s="69"/>
      <c r="D778" s="114" t="s">
        <v>478</v>
      </c>
      <c r="E778" s="35"/>
      <c r="F778" s="36"/>
      <c r="G778" s="37"/>
      <c r="H778" s="38"/>
      <c r="I778" s="19"/>
      <c r="J778" s="19"/>
      <c r="K778" s="31"/>
      <c r="L778" s="19"/>
      <c r="M778" s="32"/>
      <c r="N778" s="11"/>
      <c r="O778" s="11"/>
      <c r="P778" s="54"/>
      <c r="Q778" s="39"/>
      <c r="R778" s="39"/>
      <c r="U778" s="41"/>
    </row>
    <row r="779" spans="1:21" s="40" customFormat="1" ht="16.8" customHeight="1">
      <c r="A779" s="33">
        <f>IF(H779&lt;&gt;"",1+MAX($A$5:A778),"")</f>
        <v>507</v>
      </c>
      <c r="B779" s="79"/>
      <c r="C779" s="69"/>
      <c r="D779" s="27" t="s">
        <v>477</v>
      </c>
      <c r="E779" s="35">
        <v>1</v>
      </c>
      <c r="F779" s="36">
        <v>0</v>
      </c>
      <c r="G779" s="37">
        <f>(1+F779)*E779</f>
        <v>1</v>
      </c>
      <c r="H779" s="38" t="s">
        <v>3</v>
      </c>
      <c r="I779" s="19">
        <v>108.02799999999999</v>
      </c>
      <c r="J779" s="19">
        <f t="shared" ref="J779:J781" si="555">I779*G779</f>
        <v>108.02799999999999</v>
      </c>
      <c r="K779" s="31">
        <v>1.2</v>
      </c>
      <c r="L779" s="19">
        <f t="shared" ref="L779:L781" si="556">$O$708</f>
        <v>50</v>
      </c>
      <c r="M779" s="32">
        <f t="shared" ref="M779:M781" si="557">K779*G779</f>
        <v>1.2</v>
      </c>
      <c r="N779" s="11">
        <f t="shared" ref="N779:N781" si="558">M779*L779</f>
        <v>60</v>
      </c>
      <c r="O779" s="11">
        <f t="shared" ref="O779:O781" si="559">N779+J779</f>
        <v>168.02799999999999</v>
      </c>
      <c r="P779" s="54"/>
      <c r="Q779" s="39"/>
      <c r="R779" s="39"/>
      <c r="U779" s="41"/>
    </row>
    <row r="780" spans="1:21" s="40" customFormat="1" ht="16.8" customHeight="1">
      <c r="A780" s="33">
        <f>IF(H780&lt;&gt;"",1+MAX($A$5:A779),"")</f>
        <v>508</v>
      </c>
      <c r="B780" s="79"/>
      <c r="C780" s="69"/>
      <c r="D780" s="27" t="s">
        <v>476</v>
      </c>
      <c r="E780" s="35">
        <v>3</v>
      </c>
      <c r="F780" s="36">
        <v>0</v>
      </c>
      <c r="G780" s="37">
        <f>(1+F780)*E780</f>
        <v>3</v>
      </c>
      <c r="H780" s="38" t="s">
        <v>3</v>
      </c>
      <c r="I780" s="19">
        <v>83.171999999999997</v>
      </c>
      <c r="J780" s="19">
        <f t="shared" si="555"/>
        <v>249.51599999999999</v>
      </c>
      <c r="K780" s="31">
        <v>1.2</v>
      </c>
      <c r="L780" s="19">
        <f t="shared" si="556"/>
        <v>50</v>
      </c>
      <c r="M780" s="32">
        <f t="shared" si="557"/>
        <v>3.5999999999999996</v>
      </c>
      <c r="N780" s="11">
        <f t="shared" si="558"/>
        <v>179.99999999999997</v>
      </c>
      <c r="O780" s="11">
        <f t="shared" si="559"/>
        <v>429.51599999999996</v>
      </c>
      <c r="P780" s="54"/>
      <c r="Q780" s="39"/>
      <c r="R780" s="39"/>
      <c r="U780" s="41"/>
    </row>
    <row r="781" spans="1:21" s="40" customFormat="1" ht="16.8" customHeight="1">
      <c r="A781" s="33">
        <f>IF(H781&lt;&gt;"",1+MAX($A$5:A780),"")</f>
        <v>509</v>
      </c>
      <c r="B781" s="79"/>
      <c r="C781" s="69"/>
      <c r="D781" s="27" t="s">
        <v>475</v>
      </c>
      <c r="E781" s="35">
        <v>7</v>
      </c>
      <c r="F781" s="36">
        <v>0</v>
      </c>
      <c r="G781" s="37">
        <f>(1+F781)*E781</f>
        <v>7</v>
      </c>
      <c r="H781" s="38" t="s">
        <v>3</v>
      </c>
      <c r="I781" s="19">
        <v>97.512</v>
      </c>
      <c r="J781" s="19">
        <f t="shared" si="555"/>
        <v>682.58400000000006</v>
      </c>
      <c r="K781" s="31">
        <v>1.2</v>
      </c>
      <c r="L781" s="19">
        <f t="shared" si="556"/>
        <v>50</v>
      </c>
      <c r="M781" s="32">
        <f t="shared" si="557"/>
        <v>8.4</v>
      </c>
      <c r="N781" s="11">
        <f t="shared" si="558"/>
        <v>420</v>
      </c>
      <c r="O781" s="11">
        <f t="shared" si="559"/>
        <v>1102.5840000000001</v>
      </c>
      <c r="P781" s="54"/>
      <c r="Q781" s="39"/>
      <c r="R781" s="39"/>
      <c r="U781" s="41"/>
    </row>
    <row r="782" spans="1:21" s="40" customFormat="1" ht="16.8" customHeight="1">
      <c r="A782" s="33" t="str">
        <f>IF(H782&lt;&gt;"",1+MAX($A$5:A781),"")</f>
        <v/>
      </c>
      <c r="B782" s="79"/>
      <c r="C782" s="69"/>
      <c r="D782" s="27"/>
      <c r="E782" s="35"/>
      <c r="F782" s="36"/>
      <c r="G782" s="37"/>
      <c r="H782" s="38"/>
      <c r="I782" s="19"/>
      <c r="J782" s="19"/>
      <c r="K782" s="31"/>
      <c r="L782" s="19"/>
      <c r="M782" s="32"/>
      <c r="N782" s="11"/>
      <c r="O782" s="11"/>
      <c r="P782" s="54"/>
      <c r="Q782" s="39"/>
      <c r="R782" s="39"/>
      <c r="U782" s="41"/>
    </row>
    <row r="783" spans="1:21" s="40" customFormat="1" ht="16.8" customHeight="1">
      <c r="A783" s="33" t="str">
        <f>IF(H783&lt;&gt;"",1+MAX($A$5:A782),"")</f>
        <v/>
      </c>
      <c r="B783" s="79"/>
      <c r="C783" s="69"/>
      <c r="D783" s="114" t="s">
        <v>474</v>
      </c>
      <c r="E783" s="35"/>
      <c r="F783" s="36"/>
      <c r="G783" s="37"/>
      <c r="H783" s="38"/>
      <c r="I783" s="19"/>
      <c r="J783" s="19"/>
      <c r="K783" s="31"/>
      <c r="L783" s="19"/>
      <c r="M783" s="32"/>
      <c r="N783" s="11"/>
      <c r="O783" s="11"/>
      <c r="P783" s="54"/>
      <c r="Q783" s="39"/>
      <c r="R783" s="39"/>
      <c r="U783" s="41"/>
    </row>
    <row r="784" spans="1:21" s="40" customFormat="1" ht="16.8" customHeight="1">
      <c r="A784" s="33">
        <f>IF(H784&lt;&gt;"",1+MAX($A$5:A783),"")</f>
        <v>510</v>
      </c>
      <c r="B784" s="79"/>
      <c r="C784" s="69"/>
      <c r="D784" s="27" t="s">
        <v>63</v>
      </c>
      <c r="E784" s="35">
        <v>1</v>
      </c>
      <c r="F784" s="36">
        <v>0</v>
      </c>
      <c r="G784" s="37">
        <f>(1+F784)*E784</f>
        <v>1</v>
      </c>
      <c r="H784" s="38" t="s">
        <v>3</v>
      </c>
      <c r="I784" s="19">
        <v>1166.32</v>
      </c>
      <c r="J784" s="19">
        <f t="shared" ref="J784" si="560">I784*G784</f>
        <v>1166.32</v>
      </c>
      <c r="K784" s="31">
        <v>2.2999999999999998</v>
      </c>
      <c r="L784" s="19">
        <f t="shared" ref="L784" si="561">$O$708</f>
        <v>50</v>
      </c>
      <c r="M784" s="32">
        <f t="shared" ref="M784" si="562">K784*G784</f>
        <v>2.2999999999999998</v>
      </c>
      <c r="N784" s="11">
        <f t="shared" ref="N784" si="563">M784*L784</f>
        <v>114.99999999999999</v>
      </c>
      <c r="O784" s="11">
        <f t="shared" ref="O784" si="564">N784+J784</f>
        <v>1281.32</v>
      </c>
      <c r="P784" s="54"/>
      <c r="Q784" s="39"/>
      <c r="R784" s="39"/>
      <c r="U784" s="41"/>
    </row>
    <row r="785" spans="1:21" s="40" customFormat="1" ht="16.8" customHeight="1">
      <c r="A785" s="33" t="str">
        <f>IF(H785&lt;&gt;"",1+MAX($A$5:A784),"")</f>
        <v/>
      </c>
      <c r="B785" s="79"/>
      <c r="C785" s="69"/>
      <c r="D785" s="27"/>
      <c r="E785" s="35"/>
      <c r="F785" s="36"/>
      <c r="G785" s="37"/>
      <c r="H785" s="38"/>
      <c r="I785" s="19"/>
      <c r="J785" s="19"/>
      <c r="K785" s="31"/>
      <c r="L785" s="19"/>
      <c r="M785" s="32"/>
      <c r="N785" s="11"/>
      <c r="O785" s="11"/>
      <c r="P785" s="54"/>
      <c r="Q785" s="39"/>
      <c r="R785" s="39"/>
      <c r="U785" s="41"/>
    </row>
    <row r="786" spans="1:21" s="40" customFormat="1" ht="16.8" customHeight="1">
      <c r="A786" s="33" t="str">
        <f>IF(H786&lt;&gt;"",1+MAX($A$5:A785),"")</f>
        <v/>
      </c>
      <c r="B786" s="79"/>
      <c r="C786" s="69"/>
      <c r="D786" s="114" t="s">
        <v>473</v>
      </c>
      <c r="E786" s="35"/>
      <c r="F786" s="36"/>
      <c r="G786" s="37"/>
      <c r="H786" s="38"/>
      <c r="I786" s="19"/>
      <c r="J786" s="19"/>
      <c r="K786" s="31"/>
      <c r="L786" s="19"/>
      <c r="M786" s="32"/>
      <c r="N786" s="11"/>
      <c r="O786" s="11"/>
      <c r="P786" s="54"/>
      <c r="Q786" s="39"/>
      <c r="R786" s="39"/>
      <c r="U786" s="41"/>
    </row>
    <row r="787" spans="1:21" s="40" customFormat="1" ht="16.8" customHeight="1">
      <c r="A787" s="33">
        <f>IF(H787&lt;&gt;"",1+MAX($A$5:A786),"")</f>
        <v>511</v>
      </c>
      <c r="B787" s="79"/>
      <c r="C787" s="69"/>
      <c r="D787" s="27" t="s">
        <v>472</v>
      </c>
      <c r="E787" s="35">
        <v>1</v>
      </c>
      <c r="F787" s="36">
        <v>0</v>
      </c>
      <c r="G787" s="37">
        <f t="shared" ref="G787:G795" si="565">(1+F787)*E787</f>
        <v>1</v>
      </c>
      <c r="H787" s="38" t="s">
        <v>3</v>
      </c>
      <c r="I787" s="19">
        <v>97.512</v>
      </c>
      <c r="J787" s="19">
        <f t="shared" ref="J787:J795" si="566">I787*G787</f>
        <v>97.512</v>
      </c>
      <c r="K787" s="31">
        <v>0.64400000000000002</v>
      </c>
      <c r="L787" s="19">
        <f t="shared" ref="L787:L795" si="567">$O$708</f>
        <v>50</v>
      </c>
      <c r="M787" s="32">
        <f t="shared" ref="M787:M795" si="568">K787*G787</f>
        <v>0.64400000000000002</v>
      </c>
      <c r="N787" s="11">
        <f t="shared" ref="N787:N795" si="569">M787*L787</f>
        <v>32.200000000000003</v>
      </c>
      <c r="O787" s="11">
        <f t="shared" ref="O787:O795" si="570">N787+J787</f>
        <v>129.71199999999999</v>
      </c>
      <c r="P787" s="54"/>
      <c r="Q787" s="39"/>
      <c r="R787" s="39"/>
      <c r="U787" s="41"/>
    </row>
    <row r="788" spans="1:21" s="40" customFormat="1" ht="16.8" customHeight="1">
      <c r="A788" s="33">
        <f>IF(H788&lt;&gt;"",1+MAX($A$5:A787),"")</f>
        <v>512</v>
      </c>
      <c r="B788" s="79"/>
      <c r="C788" s="69"/>
      <c r="D788" s="27" t="s">
        <v>471</v>
      </c>
      <c r="E788" s="35">
        <v>2</v>
      </c>
      <c r="F788" s="36">
        <v>0</v>
      </c>
      <c r="G788" s="37">
        <f t="shared" si="565"/>
        <v>2</v>
      </c>
      <c r="H788" s="38" t="s">
        <v>3</v>
      </c>
      <c r="I788" s="19">
        <v>108.98399999999999</v>
      </c>
      <c r="J788" s="19">
        <f t="shared" si="566"/>
        <v>217.96799999999999</v>
      </c>
      <c r="K788" s="31">
        <v>0.64400000000000002</v>
      </c>
      <c r="L788" s="19">
        <f t="shared" si="567"/>
        <v>50</v>
      </c>
      <c r="M788" s="32">
        <f t="shared" si="568"/>
        <v>1.288</v>
      </c>
      <c r="N788" s="11">
        <f t="shared" si="569"/>
        <v>64.400000000000006</v>
      </c>
      <c r="O788" s="11">
        <f t="shared" si="570"/>
        <v>282.36799999999999</v>
      </c>
      <c r="P788" s="54"/>
      <c r="Q788" s="39"/>
      <c r="R788" s="39"/>
      <c r="U788" s="41"/>
    </row>
    <row r="789" spans="1:21" s="40" customFormat="1" ht="16.8" customHeight="1">
      <c r="A789" s="33">
        <f>IF(H789&lt;&gt;"",1+MAX($A$5:A788),"")</f>
        <v>513</v>
      </c>
      <c r="B789" s="79"/>
      <c r="C789" s="69"/>
      <c r="D789" s="27" t="s">
        <v>470</v>
      </c>
      <c r="E789" s="35">
        <v>1</v>
      </c>
      <c r="F789" s="36">
        <v>0</v>
      </c>
      <c r="G789" s="37">
        <f t="shared" si="565"/>
        <v>1</v>
      </c>
      <c r="H789" s="38" t="s">
        <v>3</v>
      </c>
      <c r="I789" s="19">
        <v>108.98399999999999</v>
      </c>
      <c r="J789" s="19">
        <f t="shared" si="566"/>
        <v>108.98399999999999</v>
      </c>
      <c r="K789" s="31">
        <v>0.64400000000000002</v>
      </c>
      <c r="L789" s="19">
        <f t="shared" si="567"/>
        <v>50</v>
      </c>
      <c r="M789" s="32">
        <f t="shared" si="568"/>
        <v>0.64400000000000002</v>
      </c>
      <c r="N789" s="11">
        <f t="shared" si="569"/>
        <v>32.200000000000003</v>
      </c>
      <c r="O789" s="11">
        <f t="shared" si="570"/>
        <v>141.184</v>
      </c>
      <c r="P789" s="54"/>
      <c r="Q789" s="39"/>
      <c r="R789" s="39"/>
      <c r="U789" s="41"/>
    </row>
    <row r="790" spans="1:21" s="40" customFormat="1" ht="16.8" customHeight="1">
      <c r="A790" s="33">
        <f>IF(H790&lt;&gt;"",1+MAX($A$5:A789),"")</f>
        <v>514</v>
      </c>
      <c r="B790" s="79"/>
      <c r="C790" s="69"/>
      <c r="D790" s="27" t="s">
        <v>469</v>
      </c>
      <c r="E790" s="35">
        <v>2</v>
      </c>
      <c r="F790" s="36">
        <v>0</v>
      </c>
      <c r="G790" s="37">
        <f t="shared" si="565"/>
        <v>2</v>
      </c>
      <c r="H790" s="38" t="s">
        <v>3</v>
      </c>
      <c r="I790" s="19">
        <v>126.19199999999999</v>
      </c>
      <c r="J790" s="19">
        <f t="shared" si="566"/>
        <v>252.38399999999999</v>
      </c>
      <c r="K790" s="31">
        <v>0.64400000000000002</v>
      </c>
      <c r="L790" s="19">
        <f t="shared" si="567"/>
        <v>50</v>
      </c>
      <c r="M790" s="32">
        <f t="shared" si="568"/>
        <v>1.288</v>
      </c>
      <c r="N790" s="11">
        <f t="shared" si="569"/>
        <v>64.400000000000006</v>
      </c>
      <c r="O790" s="11">
        <f t="shared" si="570"/>
        <v>316.78399999999999</v>
      </c>
      <c r="P790" s="54"/>
      <c r="Q790" s="39"/>
      <c r="R790" s="39"/>
      <c r="U790" s="41"/>
    </row>
    <row r="791" spans="1:21" s="40" customFormat="1" ht="16.8" customHeight="1">
      <c r="A791" s="33">
        <f>IF(H791&lt;&gt;"",1+MAX($A$5:A790),"")</f>
        <v>515</v>
      </c>
      <c r="B791" s="79"/>
      <c r="C791" s="69"/>
      <c r="D791" s="27" t="s">
        <v>468</v>
      </c>
      <c r="E791" s="35">
        <v>2</v>
      </c>
      <c r="F791" s="36">
        <v>0</v>
      </c>
      <c r="G791" s="37">
        <f t="shared" si="565"/>
        <v>2</v>
      </c>
      <c r="H791" s="38" t="s">
        <v>3</v>
      </c>
      <c r="I791" s="19">
        <v>137.66399999999999</v>
      </c>
      <c r="J791" s="19">
        <f t="shared" si="566"/>
        <v>275.32799999999997</v>
      </c>
      <c r="K791" s="31">
        <v>0.64400000000000002</v>
      </c>
      <c r="L791" s="19">
        <f t="shared" si="567"/>
        <v>50</v>
      </c>
      <c r="M791" s="32">
        <f t="shared" si="568"/>
        <v>1.288</v>
      </c>
      <c r="N791" s="11">
        <f t="shared" si="569"/>
        <v>64.400000000000006</v>
      </c>
      <c r="O791" s="11">
        <f t="shared" si="570"/>
        <v>339.72799999999995</v>
      </c>
      <c r="P791" s="54"/>
      <c r="Q791" s="39"/>
      <c r="R791" s="39"/>
      <c r="U791" s="41"/>
    </row>
    <row r="792" spans="1:21" s="40" customFormat="1" ht="16.8" customHeight="1">
      <c r="A792" s="33">
        <f>IF(H792&lt;&gt;"",1+MAX($A$5:A791),"")</f>
        <v>516</v>
      </c>
      <c r="B792" s="79"/>
      <c r="C792" s="69"/>
      <c r="D792" s="27" t="s">
        <v>467</v>
      </c>
      <c r="E792" s="35">
        <v>5</v>
      </c>
      <c r="F792" s="36">
        <v>0</v>
      </c>
      <c r="G792" s="37">
        <f t="shared" si="565"/>
        <v>5</v>
      </c>
      <c r="H792" s="38" t="s">
        <v>3</v>
      </c>
      <c r="I792" s="19">
        <v>85.275199999999998</v>
      </c>
      <c r="J792" s="19">
        <f t="shared" si="566"/>
        <v>426.37599999999998</v>
      </c>
      <c r="K792" s="31">
        <v>0.48</v>
      </c>
      <c r="L792" s="19">
        <f t="shared" si="567"/>
        <v>50</v>
      </c>
      <c r="M792" s="32">
        <f t="shared" si="568"/>
        <v>2.4</v>
      </c>
      <c r="N792" s="11">
        <f t="shared" si="569"/>
        <v>120</v>
      </c>
      <c r="O792" s="11">
        <f t="shared" si="570"/>
        <v>546.37599999999998</v>
      </c>
      <c r="P792" s="54"/>
      <c r="Q792" s="39"/>
      <c r="R792" s="39"/>
      <c r="U792" s="41"/>
    </row>
    <row r="793" spans="1:21" s="40" customFormat="1" ht="16.8" customHeight="1">
      <c r="A793" s="33">
        <f>IF(H793&lt;&gt;"",1+MAX($A$5:A792),"")</f>
        <v>517</v>
      </c>
      <c r="B793" s="79"/>
      <c r="C793" s="69"/>
      <c r="D793" s="27" t="s">
        <v>466</v>
      </c>
      <c r="E793" s="35">
        <v>5</v>
      </c>
      <c r="F793" s="36">
        <v>0</v>
      </c>
      <c r="G793" s="37">
        <f t="shared" si="565"/>
        <v>5</v>
      </c>
      <c r="H793" s="38" t="s">
        <v>3</v>
      </c>
      <c r="I793" s="19">
        <v>97.512</v>
      </c>
      <c r="J793" s="19">
        <f t="shared" si="566"/>
        <v>487.56</v>
      </c>
      <c r="K793" s="31">
        <v>0.48</v>
      </c>
      <c r="L793" s="19">
        <f t="shared" si="567"/>
        <v>50</v>
      </c>
      <c r="M793" s="32">
        <f t="shared" si="568"/>
        <v>2.4</v>
      </c>
      <c r="N793" s="11">
        <f t="shared" si="569"/>
        <v>120</v>
      </c>
      <c r="O793" s="11">
        <f t="shared" si="570"/>
        <v>607.55999999999995</v>
      </c>
      <c r="P793" s="54"/>
      <c r="Q793" s="39"/>
      <c r="R793" s="39"/>
      <c r="U793" s="41"/>
    </row>
    <row r="794" spans="1:21" s="40" customFormat="1" ht="16.8" customHeight="1">
      <c r="A794" s="33">
        <f>IF(H794&lt;&gt;"",1+MAX($A$5:A793),"")</f>
        <v>518</v>
      </c>
      <c r="B794" s="79"/>
      <c r="C794" s="69"/>
      <c r="D794" s="27" t="s">
        <v>465</v>
      </c>
      <c r="E794" s="35">
        <v>1</v>
      </c>
      <c r="F794" s="36">
        <v>0</v>
      </c>
      <c r="G794" s="37">
        <f t="shared" si="565"/>
        <v>1</v>
      </c>
      <c r="H794" s="38" t="s">
        <v>3</v>
      </c>
      <c r="I794" s="19">
        <v>133.84</v>
      </c>
      <c r="J794" s="19">
        <f t="shared" si="566"/>
        <v>133.84</v>
      </c>
      <c r="K794" s="31">
        <v>1</v>
      </c>
      <c r="L794" s="19">
        <f t="shared" si="567"/>
        <v>50</v>
      </c>
      <c r="M794" s="32">
        <f t="shared" si="568"/>
        <v>1</v>
      </c>
      <c r="N794" s="11">
        <f t="shared" si="569"/>
        <v>50</v>
      </c>
      <c r="O794" s="11">
        <f t="shared" si="570"/>
        <v>183.84</v>
      </c>
      <c r="P794" s="54"/>
      <c r="Q794" s="39"/>
      <c r="R794" s="39"/>
      <c r="U794" s="41"/>
    </row>
    <row r="795" spans="1:21" s="40" customFormat="1" ht="16.8" customHeight="1">
      <c r="A795" s="33">
        <f>IF(H795&lt;&gt;"",1+MAX($A$5:A794),"")</f>
        <v>519</v>
      </c>
      <c r="B795" s="79"/>
      <c r="C795" s="69"/>
      <c r="D795" s="27" t="s">
        <v>464</v>
      </c>
      <c r="E795" s="35">
        <v>1</v>
      </c>
      <c r="F795" s="36">
        <v>0</v>
      </c>
      <c r="G795" s="37">
        <f t="shared" si="565"/>
        <v>1</v>
      </c>
      <c r="H795" s="38" t="s">
        <v>3</v>
      </c>
      <c r="I795" s="19">
        <v>274.37200000000001</v>
      </c>
      <c r="J795" s="19">
        <f t="shared" si="566"/>
        <v>274.37200000000001</v>
      </c>
      <c r="K795" s="31">
        <v>1</v>
      </c>
      <c r="L795" s="19">
        <f t="shared" si="567"/>
        <v>50</v>
      </c>
      <c r="M795" s="32">
        <f t="shared" si="568"/>
        <v>1</v>
      </c>
      <c r="N795" s="11">
        <f t="shared" si="569"/>
        <v>50</v>
      </c>
      <c r="O795" s="11">
        <f t="shared" si="570"/>
        <v>324.37200000000001</v>
      </c>
      <c r="P795" s="54"/>
      <c r="Q795" s="39"/>
      <c r="R795" s="39"/>
      <c r="U795" s="41"/>
    </row>
    <row r="796" spans="1:21" s="40" customFormat="1" ht="16.8" customHeight="1">
      <c r="A796" s="33" t="str">
        <f>IF(H796&lt;&gt;"",1+MAX($A$5:A795),"")</f>
        <v/>
      </c>
      <c r="B796" s="79"/>
      <c r="C796" s="69"/>
      <c r="D796" s="27"/>
      <c r="E796" s="35"/>
      <c r="F796" s="36"/>
      <c r="G796" s="37"/>
      <c r="H796" s="38"/>
      <c r="I796" s="19"/>
      <c r="J796" s="19"/>
      <c r="K796" s="31"/>
      <c r="L796" s="19"/>
      <c r="M796" s="32"/>
      <c r="N796" s="11"/>
      <c r="O796" s="11"/>
      <c r="P796" s="54"/>
      <c r="Q796" s="39"/>
      <c r="R796" s="39"/>
      <c r="U796" s="41"/>
    </row>
    <row r="797" spans="1:21" s="107" customFormat="1" ht="18">
      <c r="A797" s="98" t="str">
        <f>IF(H797&lt;&gt;"",1+MAX($A$5:A797),"")</f>
        <v/>
      </c>
      <c r="B797" s="99"/>
      <c r="C797" s="99"/>
      <c r="D797" s="100" t="s">
        <v>66</v>
      </c>
      <c r="E797" s="101"/>
      <c r="F797" s="102"/>
      <c r="G797" s="103"/>
      <c r="H797" s="102"/>
      <c r="I797" s="102"/>
      <c r="J797" s="102"/>
      <c r="K797" s="102"/>
      <c r="L797" s="102"/>
      <c r="M797" s="102"/>
      <c r="N797" s="104"/>
      <c r="O797" s="102"/>
      <c r="P797" s="105">
        <f>SUM(O799:O881)</f>
        <v>72999.100598963734</v>
      </c>
      <c r="Q797" s="39"/>
      <c r="R797" s="106"/>
      <c r="U797" s="108"/>
    </row>
    <row r="798" spans="1:21" s="3" customFormat="1">
      <c r="A798" s="33" t="str">
        <f>IF(H798&lt;&gt;"",1+MAX($A$5:A797),"")</f>
        <v/>
      </c>
      <c r="B798" s="62"/>
      <c r="C798" s="68"/>
      <c r="D798" s="63"/>
      <c r="E798" s="15"/>
      <c r="F798" s="16"/>
      <c r="G798" s="21"/>
      <c r="H798" s="17"/>
      <c r="I798" s="17"/>
      <c r="J798" s="17"/>
      <c r="K798" s="17"/>
      <c r="L798" s="17"/>
      <c r="M798" s="17"/>
      <c r="N798" s="82" t="s">
        <v>20</v>
      </c>
      <c r="O798" s="29">
        <v>52</v>
      </c>
      <c r="P798" s="54"/>
      <c r="Q798" s="39"/>
      <c r="R798" s="2"/>
      <c r="U798" s="14"/>
    </row>
    <row r="799" spans="1:21" s="40" customFormat="1" ht="16.8" customHeight="1">
      <c r="A799" s="33" t="str">
        <f>IF(H799&lt;&gt;"",1+MAX($A$5:A798),"")</f>
        <v/>
      </c>
      <c r="B799" s="79"/>
      <c r="C799" s="69"/>
      <c r="D799" s="114" t="s">
        <v>584</v>
      </c>
      <c r="E799" s="35"/>
      <c r="F799" s="36"/>
      <c r="G799" s="37"/>
      <c r="H799" s="38"/>
      <c r="I799" s="19"/>
      <c r="J799" s="19"/>
      <c r="K799" s="31"/>
      <c r="L799" s="19"/>
      <c r="M799" s="32"/>
      <c r="N799" s="11"/>
      <c r="O799" s="11"/>
      <c r="P799" s="54"/>
      <c r="Q799" s="39"/>
      <c r="R799" s="39"/>
      <c r="U799" s="41"/>
    </row>
    <row r="800" spans="1:21" s="40" customFormat="1" ht="16.8" customHeight="1">
      <c r="A800" s="33">
        <f>IF(H800&lt;&gt;"",1+MAX($A$5:A799),"")</f>
        <v>520</v>
      </c>
      <c r="B800" s="79"/>
      <c r="C800" s="69"/>
      <c r="D800" s="27" t="s">
        <v>79</v>
      </c>
      <c r="E800" s="35">
        <v>729</v>
      </c>
      <c r="F800" s="36">
        <v>0.1</v>
      </c>
      <c r="G800" s="37">
        <f t="shared" ref="G800:G818" si="571">(1+F800)*E800</f>
        <v>801.90000000000009</v>
      </c>
      <c r="H800" s="38" t="s">
        <v>4</v>
      </c>
      <c r="I800" s="19">
        <v>1.18544</v>
      </c>
      <c r="J800" s="19">
        <f>G800*I800</f>
        <v>950.6043360000001</v>
      </c>
      <c r="K800" s="31">
        <v>4.7E-2</v>
      </c>
      <c r="L800" s="19">
        <f>$O$798</f>
        <v>52</v>
      </c>
      <c r="M800" s="32">
        <f t="shared" ref="M800" si="572">K800*G800</f>
        <v>37.689300000000003</v>
      </c>
      <c r="N800" s="11">
        <f t="shared" ref="N800" si="573">M800*L800</f>
        <v>1959.8436000000002</v>
      </c>
      <c r="O800" s="11">
        <f t="shared" ref="O800" si="574">N800+J800</f>
        <v>2910.4479360000005</v>
      </c>
      <c r="P800" s="54"/>
      <c r="Q800" s="39"/>
      <c r="R800" s="39"/>
      <c r="U800" s="41"/>
    </row>
    <row r="801" spans="1:21" s="40" customFormat="1" ht="16.8" customHeight="1">
      <c r="A801" s="33">
        <f>IF(H801&lt;&gt;"",1+MAX($A$5:A800),"")</f>
        <v>521</v>
      </c>
      <c r="B801" s="79"/>
      <c r="C801" s="69"/>
      <c r="D801" s="95" t="s">
        <v>583</v>
      </c>
      <c r="E801" s="35">
        <f>ROUNDUP(E800*8%,0)</f>
        <v>59</v>
      </c>
      <c r="F801" s="36">
        <v>0</v>
      </c>
      <c r="G801" s="37">
        <f t="shared" si="571"/>
        <v>59</v>
      </c>
      <c r="H801" s="38" t="s">
        <v>3</v>
      </c>
      <c r="I801" s="19"/>
      <c r="J801" s="19"/>
      <c r="K801" s="31"/>
      <c r="L801" s="19"/>
      <c r="M801" s="32"/>
      <c r="N801" s="11"/>
      <c r="O801" s="11"/>
      <c r="P801" s="54"/>
      <c r="Q801" s="39"/>
      <c r="R801" s="39"/>
      <c r="U801" s="41"/>
    </row>
    <row r="802" spans="1:21" s="40" customFormat="1" ht="16.8" customHeight="1">
      <c r="A802" s="33">
        <f>IF(H802&lt;&gt;"",1+MAX($A$5:A801),"")</f>
        <v>522</v>
      </c>
      <c r="B802" s="79"/>
      <c r="C802" s="69"/>
      <c r="D802" s="95" t="s">
        <v>582</v>
      </c>
      <c r="E802" s="35">
        <f>ROUNDUP(E800/10,0)</f>
        <v>73</v>
      </c>
      <c r="F802" s="36">
        <v>0</v>
      </c>
      <c r="G802" s="37">
        <f t="shared" si="571"/>
        <v>73</v>
      </c>
      <c r="H802" s="38" t="s">
        <v>3</v>
      </c>
      <c r="I802" s="19"/>
      <c r="J802" s="19"/>
      <c r="K802" s="31"/>
      <c r="L802" s="19"/>
      <c r="M802" s="32"/>
      <c r="N802" s="11"/>
      <c r="O802" s="11"/>
      <c r="P802" s="54"/>
      <c r="Q802" s="39"/>
      <c r="R802" s="39"/>
      <c r="U802" s="41"/>
    </row>
    <row r="803" spans="1:21" s="40" customFormat="1" ht="16.8" customHeight="1">
      <c r="A803" s="33">
        <f>IF(H803&lt;&gt;"",1+MAX($A$5:A802),"")</f>
        <v>523</v>
      </c>
      <c r="B803" s="79"/>
      <c r="C803" s="69"/>
      <c r="D803" s="95" t="s">
        <v>581</v>
      </c>
      <c r="E803" s="35">
        <f>ROUNDUP(E800/9.2,0)+ROUNDUP(E800*4%,0)</f>
        <v>110</v>
      </c>
      <c r="F803" s="36">
        <v>0</v>
      </c>
      <c r="G803" s="37">
        <f t="shared" si="571"/>
        <v>110</v>
      </c>
      <c r="H803" s="38" t="s">
        <v>3</v>
      </c>
      <c r="I803" s="19"/>
      <c r="J803" s="19"/>
      <c r="K803" s="31"/>
      <c r="L803" s="19"/>
      <c r="M803" s="32"/>
      <c r="N803" s="11"/>
      <c r="O803" s="11"/>
      <c r="P803" s="54"/>
      <c r="Q803" s="39"/>
      <c r="R803" s="39"/>
      <c r="U803" s="41"/>
    </row>
    <row r="804" spans="1:21" s="40" customFormat="1" ht="16.8" customHeight="1">
      <c r="A804" s="33">
        <f>IF(H804&lt;&gt;"",1+MAX($A$5:A803),"")</f>
        <v>524</v>
      </c>
      <c r="B804" s="79"/>
      <c r="C804" s="69"/>
      <c r="D804" s="95" t="s">
        <v>580</v>
      </c>
      <c r="E804" s="35">
        <f>ROUNDUP(E800*1%,0)</f>
        <v>8</v>
      </c>
      <c r="F804" s="36">
        <v>0</v>
      </c>
      <c r="G804" s="37">
        <f t="shared" si="571"/>
        <v>8</v>
      </c>
      <c r="H804" s="38" t="s">
        <v>3</v>
      </c>
      <c r="I804" s="19"/>
      <c r="J804" s="19"/>
      <c r="K804" s="31"/>
      <c r="L804" s="19"/>
      <c r="M804" s="32"/>
      <c r="N804" s="11"/>
      <c r="O804" s="11"/>
      <c r="P804" s="54"/>
      <c r="Q804" s="39"/>
      <c r="R804" s="39"/>
      <c r="U804" s="41"/>
    </row>
    <row r="805" spans="1:21" s="40" customFormat="1" ht="16.8" customHeight="1">
      <c r="A805" s="33">
        <f>IF(H805&lt;&gt;"",1+MAX($A$5:A804),"")</f>
        <v>525</v>
      </c>
      <c r="B805" s="79"/>
      <c r="C805" s="69"/>
      <c r="D805" s="95" t="s">
        <v>575</v>
      </c>
      <c r="E805" s="35">
        <f>ROUNDUP(E800*1%,0)</f>
        <v>8</v>
      </c>
      <c r="F805" s="36">
        <v>0</v>
      </c>
      <c r="G805" s="37">
        <f t="shared" si="571"/>
        <v>8</v>
      </c>
      <c r="H805" s="38" t="s">
        <v>3</v>
      </c>
      <c r="I805" s="19"/>
      <c r="J805" s="19"/>
      <c r="K805" s="31"/>
      <c r="L805" s="19"/>
      <c r="M805" s="32"/>
      <c r="N805" s="11"/>
      <c r="O805" s="11"/>
      <c r="P805" s="54"/>
      <c r="Q805" s="39"/>
      <c r="R805" s="39"/>
      <c r="U805" s="41"/>
    </row>
    <row r="806" spans="1:21" s="40" customFormat="1" ht="16.8" customHeight="1">
      <c r="A806" s="33">
        <f>IF(H806&lt;&gt;"",1+MAX($A$5:A805),"")</f>
        <v>526</v>
      </c>
      <c r="B806" s="79"/>
      <c r="C806" s="69"/>
      <c r="D806" s="95" t="s">
        <v>574</v>
      </c>
      <c r="E806" s="35">
        <f>ROUNDUP(E800/9.2,0)+ROUNDUP(E800*9%,0)</f>
        <v>146</v>
      </c>
      <c r="F806" s="36">
        <v>0</v>
      </c>
      <c r="G806" s="37">
        <f t="shared" si="571"/>
        <v>146</v>
      </c>
      <c r="H806" s="38" t="s">
        <v>3</v>
      </c>
      <c r="I806" s="19"/>
      <c r="J806" s="19"/>
      <c r="K806" s="31"/>
      <c r="L806" s="19"/>
      <c r="M806" s="32"/>
      <c r="N806" s="11"/>
      <c r="O806" s="11"/>
      <c r="P806" s="54"/>
      <c r="Q806" s="39"/>
      <c r="R806" s="39"/>
      <c r="U806" s="41"/>
    </row>
    <row r="807" spans="1:21" s="40" customFormat="1" ht="16.8" customHeight="1">
      <c r="A807" s="33">
        <f>IF(H807&lt;&gt;"",1+MAX($A$5:A806),"")</f>
        <v>527</v>
      </c>
      <c r="B807" s="79"/>
      <c r="C807" s="69"/>
      <c r="D807" s="95" t="s">
        <v>573</v>
      </c>
      <c r="E807" s="35">
        <f>ROUNDUP(E800/9.2,0)+ROUNDUP(E800*9%,0)</f>
        <v>146</v>
      </c>
      <c r="F807" s="36">
        <v>0</v>
      </c>
      <c r="G807" s="37">
        <f t="shared" si="571"/>
        <v>146</v>
      </c>
      <c r="H807" s="38" t="s">
        <v>3</v>
      </c>
      <c r="I807" s="19"/>
      <c r="J807" s="19"/>
      <c r="K807" s="31"/>
      <c r="L807" s="19"/>
      <c r="M807" s="32"/>
      <c r="N807" s="11"/>
      <c r="O807" s="11"/>
      <c r="P807" s="54"/>
      <c r="Q807" s="39"/>
      <c r="R807" s="39"/>
      <c r="U807" s="41"/>
    </row>
    <row r="808" spans="1:21" s="40" customFormat="1" ht="16.8" customHeight="1">
      <c r="A808" s="33">
        <f>IF(H808&lt;&gt;"",1+MAX($A$5:A807),"")</f>
        <v>528</v>
      </c>
      <c r="B808" s="79"/>
      <c r="C808" s="69"/>
      <c r="D808" s="27" t="s">
        <v>78</v>
      </c>
      <c r="E808" s="35">
        <v>3419</v>
      </c>
      <c r="F808" s="36">
        <v>0.1</v>
      </c>
      <c r="G808" s="37">
        <f t="shared" si="571"/>
        <v>3760.9</v>
      </c>
      <c r="H808" s="38" t="s">
        <v>4</v>
      </c>
      <c r="I808" s="19">
        <v>1.8450799999999998</v>
      </c>
      <c r="J808" s="19">
        <f>G808*I808</f>
        <v>6939.1613719999996</v>
      </c>
      <c r="K808" s="31">
        <v>6.2E-2</v>
      </c>
      <c r="L808" s="19">
        <f>$O$798</f>
        <v>52</v>
      </c>
      <c r="M808" s="32">
        <f t="shared" ref="M808" si="575">K808*G808</f>
        <v>233.17580000000001</v>
      </c>
      <c r="N808" s="11">
        <f t="shared" ref="N808" si="576">M808*L808</f>
        <v>12125.141600000001</v>
      </c>
      <c r="O808" s="11">
        <f t="shared" ref="O808" si="577">N808+J808</f>
        <v>19064.302972000001</v>
      </c>
      <c r="P808" s="54"/>
      <c r="Q808" s="39"/>
      <c r="R808" s="39"/>
      <c r="U808" s="41"/>
    </row>
    <row r="809" spans="1:21" s="40" customFormat="1" ht="16.8" customHeight="1">
      <c r="A809" s="33">
        <f>IF(H809&lt;&gt;"",1+MAX($A$5:A808),"")</f>
        <v>529</v>
      </c>
      <c r="B809" s="79"/>
      <c r="C809" s="69"/>
      <c r="D809" s="95" t="s">
        <v>579</v>
      </c>
      <c r="E809" s="35">
        <f>ROUNDUP(E808*8%,0)</f>
        <v>274</v>
      </c>
      <c r="F809" s="36">
        <v>0</v>
      </c>
      <c r="G809" s="37">
        <f t="shared" si="571"/>
        <v>274</v>
      </c>
      <c r="H809" s="38" t="s">
        <v>3</v>
      </c>
      <c r="I809" s="19"/>
      <c r="J809" s="19"/>
      <c r="K809" s="31"/>
      <c r="L809" s="19"/>
      <c r="M809" s="32"/>
      <c r="N809" s="11"/>
      <c r="O809" s="11"/>
      <c r="P809" s="54"/>
      <c r="Q809" s="39"/>
      <c r="R809" s="39"/>
      <c r="U809" s="41"/>
    </row>
    <row r="810" spans="1:21" s="40" customFormat="1" ht="16.8" customHeight="1">
      <c r="A810" s="33">
        <f>IF(H810&lt;&gt;"",1+MAX($A$5:A809),"")</f>
        <v>530</v>
      </c>
      <c r="B810" s="79"/>
      <c r="C810" s="69"/>
      <c r="D810" s="95" t="s">
        <v>578</v>
      </c>
      <c r="E810" s="35">
        <f>ROUNDUP(E808/10,0)</f>
        <v>342</v>
      </c>
      <c r="F810" s="36">
        <v>0</v>
      </c>
      <c r="G810" s="37">
        <f t="shared" si="571"/>
        <v>342</v>
      </c>
      <c r="H810" s="38" t="s">
        <v>3</v>
      </c>
      <c r="I810" s="19"/>
      <c r="J810" s="19"/>
      <c r="K810" s="31"/>
      <c r="L810" s="19"/>
      <c r="M810" s="32"/>
      <c r="N810" s="11"/>
      <c r="O810" s="11"/>
      <c r="P810" s="54"/>
      <c r="Q810" s="39"/>
      <c r="R810" s="39"/>
      <c r="U810" s="41"/>
    </row>
    <row r="811" spans="1:21" s="40" customFormat="1" ht="16.8" customHeight="1">
      <c r="A811" s="33">
        <f>IF(H811&lt;&gt;"",1+MAX($A$5:A810),"")</f>
        <v>531</v>
      </c>
      <c r="B811" s="79"/>
      <c r="C811" s="69"/>
      <c r="D811" s="95" t="s">
        <v>577</v>
      </c>
      <c r="E811" s="35">
        <f>ROUNDUP(E808/9.2,0)+ROUNDUP(E808*4%,0)</f>
        <v>509</v>
      </c>
      <c r="F811" s="36">
        <v>0</v>
      </c>
      <c r="G811" s="37">
        <f t="shared" si="571"/>
        <v>509</v>
      </c>
      <c r="H811" s="38" t="s">
        <v>3</v>
      </c>
      <c r="I811" s="19"/>
      <c r="J811" s="19"/>
      <c r="K811" s="31"/>
      <c r="L811" s="19"/>
      <c r="M811" s="32"/>
      <c r="N811" s="11"/>
      <c r="O811" s="11"/>
      <c r="P811" s="54"/>
      <c r="Q811" s="39"/>
      <c r="R811" s="39"/>
      <c r="U811" s="41"/>
    </row>
    <row r="812" spans="1:21" s="40" customFormat="1" ht="16.8" customHeight="1">
      <c r="A812" s="33">
        <f>IF(H812&lt;&gt;"",1+MAX($A$5:A811),"")</f>
        <v>532</v>
      </c>
      <c r="B812" s="79"/>
      <c r="C812" s="69"/>
      <c r="D812" s="95" t="s">
        <v>576</v>
      </c>
      <c r="E812" s="35">
        <f>ROUNDUP(E808*1%,0)</f>
        <v>35</v>
      </c>
      <c r="F812" s="36">
        <v>0</v>
      </c>
      <c r="G812" s="37">
        <f t="shared" si="571"/>
        <v>35</v>
      </c>
      <c r="H812" s="38" t="s">
        <v>3</v>
      </c>
      <c r="I812" s="19"/>
      <c r="J812" s="19"/>
      <c r="K812" s="31"/>
      <c r="L812" s="19"/>
      <c r="M812" s="32"/>
      <c r="N812" s="11"/>
      <c r="O812" s="11"/>
      <c r="P812" s="54"/>
      <c r="Q812" s="39"/>
      <c r="R812" s="39"/>
      <c r="U812" s="41"/>
    </row>
    <row r="813" spans="1:21" s="40" customFormat="1" ht="16.8" customHeight="1">
      <c r="A813" s="33">
        <f>IF(H813&lt;&gt;"",1+MAX($A$5:A812),"")</f>
        <v>533</v>
      </c>
      <c r="B813" s="79"/>
      <c r="C813" s="69"/>
      <c r="D813" s="95" t="s">
        <v>575</v>
      </c>
      <c r="E813" s="35">
        <f>ROUNDUP(E808*1%,0)</f>
        <v>35</v>
      </c>
      <c r="F813" s="36">
        <v>0</v>
      </c>
      <c r="G813" s="37">
        <f t="shared" si="571"/>
        <v>35</v>
      </c>
      <c r="H813" s="38" t="s">
        <v>3</v>
      </c>
      <c r="I813" s="19"/>
      <c r="J813" s="19"/>
      <c r="K813" s="31"/>
      <c r="L813" s="19"/>
      <c r="M813" s="32"/>
      <c r="N813" s="11"/>
      <c r="O813" s="11"/>
      <c r="P813" s="54"/>
      <c r="Q813" s="39"/>
      <c r="R813" s="39"/>
      <c r="U813" s="41"/>
    </row>
    <row r="814" spans="1:21" s="40" customFormat="1" ht="16.8" customHeight="1">
      <c r="A814" s="33">
        <f>IF(H814&lt;&gt;"",1+MAX($A$5:A813),"")</f>
        <v>534</v>
      </c>
      <c r="B814" s="79"/>
      <c r="C814" s="69"/>
      <c r="D814" s="95" t="s">
        <v>574</v>
      </c>
      <c r="E814" s="35">
        <f>ROUNDUP(E808/9.2,0)+ROUNDUP(E808*9%,0)</f>
        <v>680</v>
      </c>
      <c r="F814" s="36">
        <v>0</v>
      </c>
      <c r="G814" s="37">
        <f t="shared" si="571"/>
        <v>680</v>
      </c>
      <c r="H814" s="38" t="s">
        <v>3</v>
      </c>
      <c r="I814" s="19"/>
      <c r="J814" s="19"/>
      <c r="K814" s="31"/>
      <c r="L814" s="19"/>
      <c r="M814" s="32"/>
      <c r="N814" s="11"/>
      <c r="O814" s="11"/>
      <c r="P814" s="54"/>
      <c r="Q814" s="39"/>
      <c r="R814" s="39"/>
      <c r="U814" s="41"/>
    </row>
    <row r="815" spans="1:21" s="40" customFormat="1" ht="16.8" customHeight="1">
      <c r="A815" s="33">
        <f>IF(H815&lt;&gt;"",1+MAX($A$5:A814),"")</f>
        <v>535</v>
      </c>
      <c r="B815" s="79"/>
      <c r="C815" s="69"/>
      <c r="D815" s="95" t="s">
        <v>573</v>
      </c>
      <c r="E815" s="35">
        <f>ROUNDUP(E808/9.2,0)+ROUNDUP(E808*9%,0)</f>
        <v>680</v>
      </c>
      <c r="F815" s="36">
        <v>0</v>
      </c>
      <c r="G815" s="37">
        <f t="shared" si="571"/>
        <v>680</v>
      </c>
      <c r="H815" s="38" t="s">
        <v>3</v>
      </c>
      <c r="I815" s="19"/>
      <c r="J815" s="19"/>
      <c r="K815" s="31"/>
      <c r="L815" s="19"/>
      <c r="M815" s="32"/>
      <c r="N815" s="11"/>
      <c r="O815" s="11"/>
      <c r="P815" s="54"/>
      <c r="Q815" s="39"/>
      <c r="R815" s="39"/>
      <c r="U815" s="41"/>
    </row>
    <row r="816" spans="1:21" s="40" customFormat="1" ht="16.8" customHeight="1">
      <c r="A816" s="33">
        <f>IF(H816&lt;&gt;"",1+MAX($A$5:A815),"")</f>
        <v>536</v>
      </c>
      <c r="B816" s="79"/>
      <c r="C816" s="69"/>
      <c r="D816" s="27" t="s">
        <v>572</v>
      </c>
      <c r="E816" s="35">
        <v>115</v>
      </c>
      <c r="F816" s="36">
        <v>0.1</v>
      </c>
      <c r="G816" s="37">
        <f t="shared" si="571"/>
        <v>126.50000000000001</v>
      </c>
      <c r="H816" s="38" t="s">
        <v>4</v>
      </c>
      <c r="I816" s="19">
        <v>1.9024399999999999</v>
      </c>
      <c r="J816" s="19">
        <f>G816*I816</f>
        <v>240.65866000000003</v>
      </c>
      <c r="K816" s="31">
        <v>0.04</v>
      </c>
      <c r="L816" s="19">
        <f t="shared" ref="L816:L818" si="578">$O$798</f>
        <v>52</v>
      </c>
      <c r="M816" s="32">
        <f t="shared" ref="M816:M818" si="579">K816*G816</f>
        <v>5.0600000000000005</v>
      </c>
      <c r="N816" s="11">
        <f t="shared" ref="N816:N818" si="580">M816*L816</f>
        <v>263.12</v>
      </c>
      <c r="O816" s="11">
        <f t="shared" ref="O816:O818" si="581">N816+J816</f>
        <v>503.77866000000006</v>
      </c>
      <c r="P816" s="54"/>
      <c r="Q816" s="39"/>
      <c r="R816" s="39"/>
      <c r="U816" s="41"/>
    </row>
    <row r="817" spans="1:21" s="40" customFormat="1" ht="16.8" customHeight="1">
      <c r="A817" s="33">
        <f>IF(H817&lt;&gt;"",1+MAX($A$5:A816),"")</f>
        <v>537</v>
      </c>
      <c r="B817" s="79"/>
      <c r="C817" s="69"/>
      <c r="D817" s="27" t="s">
        <v>571</v>
      </c>
      <c r="E817" s="35">
        <v>55</v>
      </c>
      <c r="F817" s="36">
        <v>0.1</v>
      </c>
      <c r="G817" s="37">
        <f t="shared" si="571"/>
        <v>60.500000000000007</v>
      </c>
      <c r="H817" s="38" t="s">
        <v>4</v>
      </c>
      <c r="I817" s="19">
        <v>3.9578399999999996</v>
      </c>
      <c r="J817" s="19">
        <f>G817*I817</f>
        <v>239.44932</v>
      </c>
      <c r="K817" s="31">
        <v>6.7000000000000004E-2</v>
      </c>
      <c r="L817" s="19">
        <f t="shared" si="578"/>
        <v>52</v>
      </c>
      <c r="M817" s="32">
        <f t="shared" si="579"/>
        <v>4.0535000000000005</v>
      </c>
      <c r="N817" s="11">
        <f t="shared" si="580"/>
        <v>210.78200000000004</v>
      </c>
      <c r="O817" s="11">
        <f t="shared" si="581"/>
        <v>450.23132000000004</v>
      </c>
      <c r="P817" s="54"/>
      <c r="Q817" s="39"/>
      <c r="R817" s="39"/>
      <c r="U817" s="41"/>
    </row>
    <row r="818" spans="1:21" s="40" customFormat="1" ht="16.8" customHeight="1">
      <c r="A818" s="33">
        <f>IF(H818&lt;&gt;"",1+MAX($A$5:A817),"")</f>
        <v>538</v>
      </c>
      <c r="B818" s="79"/>
      <c r="C818" s="69"/>
      <c r="D818" s="27" t="s">
        <v>570</v>
      </c>
      <c r="E818" s="35">
        <v>100</v>
      </c>
      <c r="F818" s="36">
        <v>0.1</v>
      </c>
      <c r="G818" s="37">
        <f t="shared" si="571"/>
        <v>110.00000000000001</v>
      </c>
      <c r="H818" s="38" t="s">
        <v>4</v>
      </c>
      <c r="I818" s="19">
        <v>4.9472999999999994</v>
      </c>
      <c r="J818" s="19">
        <f>G818*I818</f>
        <v>544.20299999999997</v>
      </c>
      <c r="K818" s="31">
        <f>(K817/2)*2.5</f>
        <v>8.3750000000000005E-2</v>
      </c>
      <c r="L818" s="19">
        <f t="shared" si="578"/>
        <v>52</v>
      </c>
      <c r="M818" s="32">
        <f t="shared" si="579"/>
        <v>9.2125000000000021</v>
      </c>
      <c r="N818" s="11">
        <f t="shared" si="580"/>
        <v>479.05000000000013</v>
      </c>
      <c r="O818" s="11">
        <f t="shared" si="581"/>
        <v>1023.2530000000002</v>
      </c>
      <c r="P818" s="54"/>
      <c r="Q818" s="39"/>
      <c r="R818" s="39"/>
      <c r="U818" s="41"/>
    </row>
    <row r="819" spans="1:21" s="40" customFormat="1" ht="16.8" customHeight="1">
      <c r="A819" s="33" t="str">
        <f>IF(H819&lt;&gt;"",1+MAX($A$5:A818),"")</f>
        <v/>
      </c>
      <c r="B819" s="79"/>
      <c r="C819" s="69"/>
      <c r="D819" s="27" t="s">
        <v>96</v>
      </c>
      <c r="E819" s="35"/>
      <c r="F819" s="36"/>
      <c r="G819" s="37"/>
      <c r="H819" s="38"/>
      <c r="I819" s="19"/>
      <c r="J819" s="19"/>
      <c r="K819" s="31"/>
      <c r="L819" s="19"/>
      <c r="M819" s="32"/>
      <c r="N819" s="11"/>
      <c r="O819" s="11"/>
      <c r="P819" s="54"/>
      <c r="Q819" s="39"/>
      <c r="R819" s="39"/>
      <c r="U819" s="41"/>
    </row>
    <row r="820" spans="1:21" s="40" customFormat="1" ht="16.8" customHeight="1">
      <c r="A820" s="33" t="str">
        <f>IF(H820&lt;&gt;"",1+MAX($A$5:A819),"")</f>
        <v/>
      </c>
      <c r="B820" s="79"/>
      <c r="C820" s="69"/>
      <c r="D820" s="114" t="s">
        <v>569</v>
      </c>
      <c r="E820" s="35"/>
      <c r="F820" s="36"/>
      <c r="G820" s="37"/>
      <c r="H820" s="38"/>
      <c r="I820" s="19"/>
      <c r="J820" s="19"/>
      <c r="K820" s="31"/>
      <c r="L820" s="19"/>
      <c r="M820" s="32"/>
      <c r="N820" s="11"/>
      <c r="O820" s="11"/>
      <c r="P820" s="54"/>
      <c r="Q820" s="39"/>
      <c r="R820" s="39"/>
      <c r="U820" s="41"/>
    </row>
    <row r="821" spans="1:21" s="40" customFormat="1" ht="16.8" customHeight="1">
      <c r="A821" s="33" t="str">
        <f>IF(H821&lt;&gt;"",1+MAX($A$5:A820),"")</f>
        <v/>
      </c>
      <c r="B821" s="79"/>
      <c r="C821" s="69"/>
      <c r="D821" s="27" t="s">
        <v>568</v>
      </c>
      <c r="E821" s="35"/>
      <c r="F821" s="36"/>
      <c r="G821" s="37"/>
      <c r="H821" s="38"/>
      <c r="I821" s="19"/>
      <c r="J821" s="19"/>
      <c r="K821" s="31"/>
      <c r="L821" s="19"/>
      <c r="M821" s="32"/>
      <c r="N821" s="11"/>
      <c r="O821" s="11"/>
      <c r="P821" s="54"/>
      <c r="Q821" s="39"/>
      <c r="R821" s="39"/>
      <c r="U821" s="41"/>
    </row>
    <row r="822" spans="1:21" s="40" customFormat="1" ht="16.8" customHeight="1">
      <c r="A822" s="33">
        <f>IF(H822&lt;&gt;"",1+MAX($A$5:A821),"")</f>
        <v>539</v>
      </c>
      <c r="B822" s="79"/>
      <c r="C822" s="69"/>
      <c r="D822" s="27" t="s">
        <v>567</v>
      </c>
      <c r="E822" s="35">
        <v>23.96</v>
      </c>
      <c r="F822" s="36">
        <v>0.1</v>
      </c>
      <c r="G822" s="37">
        <f t="shared" ref="G822:G827" si="582">(1+F822)*E822</f>
        <v>26.356000000000002</v>
      </c>
      <c r="H822" s="38" t="s">
        <v>4</v>
      </c>
      <c r="I822" s="19">
        <v>0.98257679999999981</v>
      </c>
      <c r="J822" s="19">
        <f t="shared" ref="J822:J830" si="583">G822*I822</f>
        <v>25.896794140799997</v>
      </c>
      <c r="K822" s="31">
        <f>3*(0.8/100)</f>
        <v>2.4E-2</v>
      </c>
      <c r="L822" s="19">
        <f t="shared" ref="L822:L827" si="584">$O$798</f>
        <v>52</v>
      </c>
      <c r="M822" s="32">
        <f t="shared" ref="M822:M827" si="585">K822*G822</f>
        <v>0.63254400000000011</v>
      </c>
      <c r="N822" s="11">
        <f t="shared" ref="N822:N827" si="586">M822*L822</f>
        <v>32.892288000000008</v>
      </c>
      <c r="O822" s="11">
        <f t="shared" ref="O822:O827" si="587">N822+J822</f>
        <v>58.789082140800005</v>
      </c>
      <c r="P822" s="54"/>
      <c r="Q822" s="39"/>
      <c r="R822" s="39"/>
      <c r="U822" s="41"/>
    </row>
    <row r="823" spans="1:21" s="40" customFormat="1" ht="16.8" customHeight="1">
      <c r="A823" s="33">
        <f>IF(H823&lt;&gt;"",1+MAX($A$5:A822),"")</f>
        <v>540</v>
      </c>
      <c r="B823" s="79"/>
      <c r="C823" s="69"/>
      <c r="D823" s="27" t="s">
        <v>77</v>
      </c>
      <c r="E823" s="35">
        <v>728.99</v>
      </c>
      <c r="F823" s="36">
        <v>0.1</v>
      </c>
      <c r="G823" s="37">
        <f t="shared" si="582"/>
        <v>801.88900000000012</v>
      </c>
      <c r="H823" s="38" t="s">
        <v>4</v>
      </c>
      <c r="I823" s="19">
        <v>0.43670079999999994</v>
      </c>
      <c r="J823" s="19">
        <f t="shared" si="583"/>
        <v>350.18556781120003</v>
      </c>
      <c r="K823" s="31">
        <f>2*(0.727/100)</f>
        <v>1.4539999999999999E-2</v>
      </c>
      <c r="L823" s="19">
        <f t="shared" si="584"/>
        <v>52</v>
      </c>
      <c r="M823" s="32">
        <f t="shared" si="585"/>
        <v>11.659466060000002</v>
      </c>
      <c r="N823" s="11">
        <f t="shared" si="586"/>
        <v>606.2922351200001</v>
      </c>
      <c r="O823" s="11">
        <f t="shared" si="587"/>
        <v>956.47780293120013</v>
      </c>
      <c r="P823" s="54"/>
      <c r="Q823" s="39"/>
      <c r="R823" s="39"/>
      <c r="U823" s="41"/>
    </row>
    <row r="824" spans="1:21" s="40" customFormat="1" ht="16.8" customHeight="1">
      <c r="A824" s="33">
        <f>IF(H824&lt;&gt;"",1+MAX($A$5:A823),"")</f>
        <v>541</v>
      </c>
      <c r="B824" s="79"/>
      <c r="C824" s="69"/>
      <c r="D824" s="27" t="s">
        <v>76</v>
      </c>
      <c r="E824" s="35">
        <v>1813</v>
      </c>
      <c r="F824" s="36">
        <v>0.1</v>
      </c>
      <c r="G824" s="37">
        <f t="shared" si="582"/>
        <v>1994.3000000000002</v>
      </c>
      <c r="H824" s="38" t="s">
        <v>4</v>
      </c>
      <c r="I824" s="19">
        <v>0.65505120000000006</v>
      </c>
      <c r="J824" s="19">
        <f t="shared" si="583"/>
        <v>1306.3686081600001</v>
      </c>
      <c r="K824" s="31">
        <f>3*(0.727/100)</f>
        <v>2.181E-2</v>
      </c>
      <c r="L824" s="19">
        <f t="shared" si="584"/>
        <v>52</v>
      </c>
      <c r="M824" s="32">
        <f t="shared" si="585"/>
        <v>43.495683</v>
      </c>
      <c r="N824" s="11">
        <f t="shared" si="586"/>
        <v>2261.7755160000002</v>
      </c>
      <c r="O824" s="11">
        <f t="shared" si="587"/>
        <v>3568.1441241600005</v>
      </c>
      <c r="P824" s="54"/>
      <c r="Q824" s="39"/>
      <c r="R824" s="39"/>
      <c r="U824" s="41"/>
    </row>
    <row r="825" spans="1:21" s="40" customFormat="1" ht="16.8" customHeight="1">
      <c r="A825" s="33">
        <f>IF(H825&lt;&gt;"",1+MAX($A$5:A824),"")</f>
        <v>542</v>
      </c>
      <c r="B825" s="79"/>
      <c r="C825" s="69"/>
      <c r="D825" s="27" t="s">
        <v>75</v>
      </c>
      <c r="E825" s="35">
        <v>1535</v>
      </c>
      <c r="F825" s="36">
        <v>0.1</v>
      </c>
      <c r="G825" s="37">
        <f t="shared" si="582"/>
        <v>1688.5000000000002</v>
      </c>
      <c r="H825" s="38" t="s">
        <v>4</v>
      </c>
      <c r="I825" s="19">
        <v>0.65505120000000006</v>
      </c>
      <c r="J825" s="19">
        <f t="shared" si="583"/>
        <v>1106.0539512000003</v>
      </c>
      <c r="K825" s="31">
        <f>3*(0.727/100)</f>
        <v>2.181E-2</v>
      </c>
      <c r="L825" s="19">
        <f t="shared" si="584"/>
        <v>52</v>
      </c>
      <c r="M825" s="32">
        <f t="shared" si="585"/>
        <v>36.826185000000002</v>
      </c>
      <c r="N825" s="11">
        <f t="shared" si="586"/>
        <v>1914.96162</v>
      </c>
      <c r="O825" s="11">
        <f t="shared" si="587"/>
        <v>3021.0155712000005</v>
      </c>
      <c r="P825" s="54"/>
      <c r="Q825" s="39"/>
      <c r="R825" s="39"/>
      <c r="U825" s="41"/>
    </row>
    <row r="826" spans="1:21" s="40" customFormat="1" ht="16.8" customHeight="1">
      <c r="A826" s="33">
        <f>IF(H826&lt;&gt;"",1+MAX($A$5:A825),"")</f>
        <v>543</v>
      </c>
      <c r="B826" s="79"/>
      <c r="C826" s="69"/>
      <c r="D826" s="27" t="s">
        <v>566</v>
      </c>
      <c r="E826" s="35">
        <v>29.04</v>
      </c>
      <c r="F826" s="36">
        <v>0.1</v>
      </c>
      <c r="G826" s="37">
        <f t="shared" si="582"/>
        <v>31.944000000000003</v>
      </c>
      <c r="H826" s="38" t="s">
        <v>4</v>
      </c>
      <c r="I826" s="19">
        <v>1.7609520000000001</v>
      </c>
      <c r="J826" s="19">
        <f t="shared" si="583"/>
        <v>56.251850688000005</v>
      </c>
      <c r="K826" s="31">
        <f>2*(1.231/100)+(0.8/100)</f>
        <v>3.2620000000000003E-2</v>
      </c>
      <c r="L826" s="19">
        <f t="shared" si="584"/>
        <v>52</v>
      </c>
      <c r="M826" s="32">
        <f t="shared" si="585"/>
        <v>1.0420132800000002</v>
      </c>
      <c r="N826" s="11">
        <f t="shared" si="586"/>
        <v>54.184690560000007</v>
      </c>
      <c r="O826" s="11">
        <f t="shared" si="587"/>
        <v>110.43654124800001</v>
      </c>
      <c r="P826" s="54"/>
      <c r="Q826" s="39"/>
      <c r="R826" s="39"/>
      <c r="U826" s="41"/>
    </row>
    <row r="827" spans="1:21" s="40" customFormat="1" ht="16.8" customHeight="1">
      <c r="A827" s="33">
        <f>IF(H827&lt;&gt;"",1+MAX($A$5:A826),"")</f>
        <v>544</v>
      </c>
      <c r="B827" s="79"/>
      <c r="C827" s="69"/>
      <c r="D827" s="27" t="s">
        <v>565</v>
      </c>
      <c r="E827" s="35">
        <v>18.47</v>
      </c>
      <c r="F827" s="36">
        <v>0.1</v>
      </c>
      <c r="G827" s="37">
        <f t="shared" si="582"/>
        <v>20.317</v>
      </c>
      <c r="H827" s="38" t="s">
        <v>4</v>
      </c>
      <c r="I827" s="19">
        <v>1.3338112</v>
      </c>
      <c r="J827" s="19">
        <f t="shared" si="583"/>
        <v>27.099042150399999</v>
      </c>
      <c r="K827" s="31">
        <f>2*(1/100)+(0.8/100)</f>
        <v>2.8000000000000001E-2</v>
      </c>
      <c r="L827" s="19">
        <f t="shared" si="584"/>
        <v>52</v>
      </c>
      <c r="M827" s="32">
        <f t="shared" si="585"/>
        <v>0.56887600000000005</v>
      </c>
      <c r="N827" s="11">
        <f t="shared" si="586"/>
        <v>29.581552000000002</v>
      </c>
      <c r="O827" s="11">
        <f t="shared" si="587"/>
        <v>56.680594150399997</v>
      </c>
      <c r="P827" s="54"/>
      <c r="Q827" s="39"/>
      <c r="R827" s="39"/>
      <c r="U827" s="41"/>
    </row>
    <row r="828" spans="1:21" s="40" customFormat="1" ht="16.8" customHeight="1">
      <c r="A828" s="33" t="str">
        <f>IF(H828&lt;&gt;"",1+MAX($A$5:A827),"")</f>
        <v/>
      </c>
      <c r="B828" s="79"/>
      <c r="C828" s="69"/>
      <c r="D828" s="27" t="s">
        <v>96</v>
      </c>
      <c r="E828" s="35"/>
      <c r="F828" s="36"/>
      <c r="G828" s="37"/>
      <c r="H828" s="38"/>
      <c r="I828" s="19"/>
      <c r="J828" s="19"/>
      <c r="K828" s="31"/>
      <c r="L828" s="19"/>
      <c r="M828" s="32"/>
      <c r="N828" s="11"/>
      <c r="O828" s="11"/>
      <c r="P828" s="54"/>
      <c r="Q828" s="39"/>
      <c r="R828" s="39"/>
      <c r="U828" s="41"/>
    </row>
    <row r="829" spans="1:21" s="40" customFormat="1" ht="16.8" customHeight="1">
      <c r="A829" s="33" t="str">
        <f>IF(H829&lt;&gt;"",1+MAX($A$5:A828),"")</f>
        <v/>
      </c>
      <c r="B829" s="79"/>
      <c r="C829" s="69"/>
      <c r="D829" s="27" t="s">
        <v>564</v>
      </c>
      <c r="E829" s="35"/>
      <c r="F829" s="36"/>
      <c r="G829" s="37"/>
      <c r="H829" s="38"/>
      <c r="I829" s="19"/>
      <c r="J829" s="19"/>
      <c r="K829" s="31"/>
      <c r="L829" s="19"/>
      <c r="M829" s="32"/>
      <c r="N829" s="11"/>
      <c r="O829" s="11"/>
      <c r="P829" s="54"/>
      <c r="Q829" s="39"/>
      <c r="R829" s="39"/>
      <c r="U829" s="41"/>
    </row>
    <row r="830" spans="1:21" s="40" customFormat="1" ht="16.8" customHeight="1">
      <c r="A830" s="33">
        <f>IF(H830&lt;&gt;"",1+MAX($A$5:A829),"")</f>
        <v>545</v>
      </c>
      <c r="B830" s="79"/>
      <c r="C830" s="69"/>
      <c r="D830" s="27" t="s">
        <v>563</v>
      </c>
      <c r="E830" s="35">
        <v>55</v>
      </c>
      <c r="F830" s="36">
        <v>0.1</v>
      </c>
      <c r="G830" s="37">
        <f>(1+F830)*E830</f>
        <v>60.500000000000007</v>
      </c>
      <c r="H830" s="38" t="s">
        <v>4</v>
      </c>
      <c r="I830" s="19">
        <v>7.5945595999999993</v>
      </c>
      <c r="J830" s="19">
        <f t="shared" si="583"/>
        <v>459.47085580000004</v>
      </c>
      <c r="K830" s="31">
        <f>3*(2/100)+(0.8/100)</f>
        <v>6.8000000000000005E-2</v>
      </c>
      <c r="L830" s="19">
        <f t="shared" ref="L830:L832" si="588">$O$798</f>
        <v>52</v>
      </c>
      <c r="M830" s="32">
        <f t="shared" ref="M830:M832" si="589">K830*G830</f>
        <v>4.1140000000000008</v>
      </c>
      <c r="N830" s="11">
        <f t="shared" ref="N830:N832" si="590">M830*L830</f>
        <v>213.92800000000005</v>
      </c>
      <c r="O830" s="11">
        <f t="shared" ref="O830:O832" si="591">N830+J830</f>
        <v>673.39885580000009</v>
      </c>
      <c r="P830" s="54"/>
      <c r="Q830" s="39"/>
      <c r="R830" s="39"/>
      <c r="U830" s="41"/>
    </row>
    <row r="831" spans="1:21" s="40" customFormat="1" ht="16.8" customHeight="1">
      <c r="A831" s="33">
        <f>IF(H831&lt;&gt;"",1+MAX($A$5:A830),"")</f>
        <v>546</v>
      </c>
      <c r="B831" s="79"/>
      <c r="C831" s="69"/>
      <c r="D831" s="27" t="s">
        <v>562</v>
      </c>
      <c r="E831" s="35">
        <v>115</v>
      </c>
      <c r="F831" s="36">
        <v>0.1</v>
      </c>
      <c r="G831" s="37">
        <f>(1+F831)*E831</f>
        <v>126.50000000000001</v>
      </c>
      <c r="H831" s="38" t="s">
        <v>4</v>
      </c>
      <c r="I831" s="19">
        <v>1.2009271999999998</v>
      </c>
      <c r="J831" s="19">
        <f>G831*I831</f>
        <v>151.91729079999999</v>
      </c>
      <c r="K831" s="31">
        <f>3*(0.8/100)+(0.727/100)</f>
        <v>3.1269999999999999E-2</v>
      </c>
      <c r="L831" s="19">
        <f t="shared" si="588"/>
        <v>52</v>
      </c>
      <c r="M831" s="32">
        <f t="shared" si="589"/>
        <v>3.9556550000000001</v>
      </c>
      <c r="N831" s="11">
        <f t="shared" si="590"/>
        <v>205.69406000000001</v>
      </c>
      <c r="O831" s="11">
        <f t="shared" si="591"/>
        <v>357.61135079999997</v>
      </c>
      <c r="P831" s="54"/>
      <c r="Q831" s="39"/>
      <c r="R831" s="39"/>
      <c r="U831" s="41"/>
    </row>
    <row r="832" spans="1:21" s="40" customFormat="1" ht="16.8" customHeight="1">
      <c r="A832" s="33">
        <f>IF(H832&lt;&gt;"",1+MAX($A$5:A831),"")</f>
        <v>547</v>
      </c>
      <c r="B832" s="79"/>
      <c r="C832" s="69"/>
      <c r="D832" s="27" t="s">
        <v>561</v>
      </c>
      <c r="E832" s="35">
        <v>100</v>
      </c>
      <c r="F832" s="36">
        <v>0.1</v>
      </c>
      <c r="G832" s="37">
        <f>(1+F832)*E832</f>
        <v>110.00000000000001</v>
      </c>
      <c r="H832" s="38" t="s">
        <v>4</v>
      </c>
      <c r="I832" s="19">
        <v>14.8140804</v>
      </c>
      <c r="J832" s="19">
        <f>G832*I832</f>
        <v>1629.5488440000001</v>
      </c>
      <c r="K832" s="31">
        <f>3*(3.2/100)+(1.231/100)</f>
        <v>0.10831</v>
      </c>
      <c r="L832" s="19">
        <f t="shared" si="588"/>
        <v>52</v>
      </c>
      <c r="M832" s="32">
        <f t="shared" si="589"/>
        <v>11.914100000000001</v>
      </c>
      <c r="N832" s="11">
        <f t="shared" si="590"/>
        <v>619.53320000000008</v>
      </c>
      <c r="O832" s="11">
        <f t="shared" si="591"/>
        <v>2249.0820440000002</v>
      </c>
      <c r="P832" s="54"/>
      <c r="Q832" s="39"/>
      <c r="R832" s="39"/>
      <c r="U832" s="41"/>
    </row>
    <row r="833" spans="1:21" s="40" customFormat="1" ht="16.8" customHeight="1">
      <c r="A833" s="33" t="str">
        <f>IF(H833&lt;&gt;"",1+MAX($A$5:A832),"")</f>
        <v/>
      </c>
      <c r="B833" s="79"/>
      <c r="C833" s="69"/>
      <c r="D833" s="27" t="s">
        <v>96</v>
      </c>
      <c r="E833" s="35"/>
      <c r="F833" s="36"/>
      <c r="G833" s="37"/>
      <c r="H833" s="38"/>
      <c r="I833" s="19"/>
      <c r="J833" s="19"/>
      <c r="K833" s="31"/>
      <c r="L833" s="19"/>
      <c r="M833" s="32"/>
      <c r="N833" s="11"/>
      <c r="O833" s="11"/>
      <c r="P833" s="54"/>
      <c r="Q833" s="39"/>
      <c r="R833" s="39"/>
      <c r="U833" s="41"/>
    </row>
    <row r="834" spans="1:21" s="40" customFormat="1" ht="16.8" customHeight="1">
      <c r="A834" s="33" t="str">
        <f>IF(H834&lt;&gt;"",1+MAX($A$5:A833),"")</f>
        <v/>
      </c>
      <c r="B834" s="79"/>
      <c r="C834" s="69"/>
      <c r="D834" s="27" t="s">
        <v>560</v>
      </c>
      <c r="E834" s="35"/>
      <c r="F834" s="36"/>
      <c r="G834" s="37"/>
      <c r="H834" s="38"/>
      <c r="I834" s="19"/>
      <c r="J834" s="19"/>
      <c r="K834" s="31"/>
      <c r="L834" s="19"/>
      <c r="M834" s="32"/>
      <c r="N834" s="11"/>
      <c r="O834" s="11"/>
      <c r="P834" s="54"/>
      <c r="Q834" s="39"/>
      <c r="R834" s="39"/>
      <c r="U834" s="41"/>
    </row>
    <row r="835" spans="1:21" s="40" customFormat="1" ht="16.8" customHeight="1">
      <c r="A835" s="33">
        <f>IF(H835&lt;&gt;"",1+MAX($A$5:A834),"")</f>
        <v>548</v>
      </c>
      <c r="B835" s="79"/>
      <c r="C835" s="69"/>
      <c r="D835" s="27" t="s">
        <v>559</v>
      </c>
      <c r="E835" s="35">
        <v>20</v>
      </c>
      <c r="F835" s="36">
        <v>0.1</v>
      </c>
      <c r="G835" s="37">
        <f>(1+F835)*E835</f>
        <v>22</v>
      </c>
      <c r="H835" s="38" t="s">
        <v>4</v>
      </c>
      <c r="I835" s="19">
        <v>1.3480555999999999</v>
      </c>
      <c r="J835" s="19">
        <f>G835*I835</f>
        <v>29.657223199999997</v>
      </c>
      <c r="K835" s="31">
        <f>1.509/100</f>
        <v>1.5089999999999999E-2</v>
      </c>
      <c r="L835" s="19">
        <f t="shared" ref="L835:L836" si="592">$O$798</f>
        <v>52</v>
      </c>
      <c r="M835" s="32">
        <f t="shared" ref="M835:M836" si="593">K835*G835</f>
        <v>0.33198</v>
      </c>
      <c r="N835" s="11">
        <f t="shared" ref="N835:N836" si="594">M835*L835</f>
        <v>17.26296</v>
      </c>
      <c r="O835" s="11">
        <f t="shared" ref="O835:O836" si="595">N835+J835</f>
        <v>46.920183199999997</v>
      </c>
      <c r="P835" s="54"/>
      <c r="Q835" s="39"/>
      <c r="R835" s="39"/>
      <c r="U835" s="41"/>
    </row>
    <row r="836" spans="1:21" s="40" customFormat="1" ht="16.8" customHeight="1">
      <c r="A836" s="33">
        <f>IF(H836&lt;&gt;"",1+MAX($A$5:A835),"")</f>
        <v>549</v>
      </c>
      <c r="B836" s="79"/>
      <c r="C836" s="69"/>
      <c r="D836" s="27" t="s">
        <v>558</v>
      </c>
      <c r="E836" s="35">
        <v>10</v>
      </c>
      <c r="F836" s="36">
        <v>0</v>
      </c>
      <c r="G836" s="37">
        <f>(1+F836)*E836</f>
        <v>10</v>
      </c>
      <c r="H836" s="38" t="s">
        <v>3</v>
      </c>
      <c r="I836" s="19">
        <v>0.5031428</v>
      </c>
      <c r="J836" s="19">
        <f>G836*I836</f>
        <v>5.031428</v>
      </c>
      <c r="K836" s="31">
        <f>1/100</f>
        <v>0.01</v>
      </c>
      <c r="L836" s="19">
        <f t="shared" si="592"/>
        <v>52</v>
      </c>
      <c r="M836" s="32">
        <f t="shared" si="593"/>
        <v>0.1</v>
      </c>
      <c r="N836" s="11">
        <f t="shared" si="594"/>
        <v>5.2</v>
      </c>
      <c r="O836" s="11">
        <f t="shared" si="595"/>
        <v>10.231428000000001</v>
      </c>
      <c r="P836" s="54"/>
      <c r="Q836" s="39"/>
      <c r="R836" s="39"/>
      <c r="U836" s="41"/>
    </row>
    <row r="837" spans="1:21" s="40" customFormat="1" ht="16.8" customHeight="1">
      <c r="A837" s="33" t="str">
        <f>IF(H837&lt;&gt;"",1+MAX($A$5:A836),"")</f>
        <v/>
      </c>
      <c r="B837" s="79"/>
      <c r="C837" s="69"/>
      <c r="D837" s="27" t="s">
        <v>96</v>
      </c>
      <c r="E837" s="35"/>
      <c r="F837" s="36"/>
      <c r="G837" s="37"/>
      <c r="H837" s="38"/>
      <c r="I837" s="19"/>
      <c r="J837" s="19"/>
      <c r="K837" s="31"/>
      <c r="L837" s="19"/>
      <c r="M837" s="32"/>
      <c r="N837" s="11"/>
      <c r="O837" s="11"/>
      <c r="P837" s="54"/>
      <c r="Q837" s="39"/>
      <c r="R837" s="39"/>
      <c r="U837" s="41"/>
    </row>
    <row r="838" spans="1:21" s="40" customFormat="1" ht="16.8" customHeight="1">
      <c r="A838" s="33" t="str">
        <f>IF(H838&lt;&gt;"",1+MAX($A$5:A837),"")</f>
        <v/>
      </c>
      <c r="B838" s="79"/>
      <c r="C838" s="69"/>
      <c r="D838" s="114" t="s">
        <v>557</v>
      </c>
      <c r="E838" s="35"/>
      <c r="F838" s="36"/>
      <c r="G838" s="37"/>
      <c r="H838" s="38"/>
      <c r="I838" s="19"/>
      <c r="J838" s="19"/>
      <c r="K838" s="31"/>
      <c r="L838" s="19"/>
      <c r="M838" s="32"/>
      <c r="N838" s="11"/>
      <c r="O838" s="11"/>
      <c r="P838" s="54"/>
      <c r="Q838" s="39"/>
      <c r="R838" s="39"/>
      <c r="U838" s="41"/>
    </row>
    <row r="839" spans="1:21" s="40" customFormat="1" ht="16.8" customHeight="1">
      <c r="A839" s="33">
        <f>IF(H839&lt;&gt;"",1+MAX($A$5:A838),"")</f>
        <v>550</v>
      </c>
      <c r="B839" s="79"/>
      <c r="C839" s="69"/>
      <c r="D839" s="27" t="s">
        <v>74</v>
      </c>
      <c r="E839" s="35">
        <v>35</v>
      </c>
      <c r="F839" s="36">
        <v>0</v>
      </c>
      <c r="G839" s="37">
        <f>(1+F839)*E839</f>
        <v>35</v>
      </c>
      <c r="H839" s="38" t="s">
        <v>3</v>
      </c>
      <c r="I839" s="19">
        <v>12.77216</v>
      </c>
      <c r="J839" s="19">
        <f>G839*I839</f>
        <v>447.0256</v>
      </c>
      <c r="K839" s="31">
        <v>0.55000000000000004</v>
      </c>
      <c r="L839" s="19">
        <f t="shared" ref="L839:L843" si="596">$O$798</f>
        <v>52</v>
      </c>
      <c r="M839" s="32">
        <f t="shared" ref="M839:M843" si="597">K839*G839</f>
        <v>19.25</v>
      </c>
      <c r="N839" s="11">
        <f t="shared" ref="N839:N843" si="598">M839*L839</f>
        <v>1001</v>
      </c>
      <c r="O839" s="11">
        <f t="shared" ref="O839:O843" si="599">N839+J839</f>
        <v>1448.0255999999999</v>
      </c>
      <c r="P839" s="54"/>
      <c r="Q839" s="39"/>
      <c r="R839" s="39"/>
      <c r="U839" s="41"/>
    </row>
    <row r="840" spans="1:21" s="40" customFormat="1" ht="16.8" customHeight="1">
      <c r="A840" s="33">
        <f>IF(H840&lt;&gt;"",1+MAX($A$5:A839),"")</f>
        <v>551</v>
      </c>
      <c r="B840" s="79"/>
      <c r="C840" s="69"/>
      <c r="D840" s="27" t="s">
        <v>73</v>
      </c>
      <c r="E840" s="35">
        <v>39</v>
      </c>
      <c r="F840" s="36">
        <v>0</v>
      </c>
      <c r="G840" s="37">
        <f>(1+F840)*E840</f>
        <v>39</v>
      </c>
      <c r="H840" s="38" t="s">
        <v>3</v>
      </c>
      <c r="I840" s="19">
        <v>30.85012</v>
      </c>
      <c r="J840" s="19">
        <f t="shared" ref="J840:J841" si="600">G840*I840</f>
        <v>1203.1546800000001</v>
      </c>
      <c r="K840" s="31">
        <v>0.65</v>
      </c>
      <c r="L840" s="19">
        <f t="shared" si="596"/>
        <v>52</v>
      </c>
      <c r="M840" s="32">
        <f t="shared" si="597"/>
        <v>25.35</v>
      </c>
      <c r="N840" s="11">
        <f t="shared" si="598"/>
        <v>1318.2</v>
      </c>
      <c r="O840" s="11">
        <f t="shared" si="599"/>
        <v>2521.3546800000004</v>
      </c>
      <c r="P840" s="54"/>
      <c r="Q840" s="39"/>
      <c r="R840" s="39"/>
      <c r="U840" s="41"/>
    </row>
    <row r="841" spans="1:21" s="40" customFormat="1" ht="16.8" customHeight="1">
      <c r="A841" s="33">
        <f>IF(H841&lt;&gt;"",1+MAX($A$5:A840),"")</f>
        <v>552</v>
      </c>
      <c r="B841" s="79"/>
      <c r="C841" s="69"/>
      <c r="D841" s="27" t="s">
        <v>72</v>
      </c>
      <c r="E841" s="35">
        <v>20</v>
      </c>
      <c r="F841" s="36">
        <v>0</v>
      </c>
      <c r="G841" s="37">
        <f>(1+F841)*E841</f>
        <v>20</v>
      </c>
      <c r="H841" s="38" t="s">
        <v>3</v>
      </c>
      <c r="I841" s="19">
        <v>35.152120000000004</v>
      </c>
      <c r="J841" s="19">
        <f t="shared" si="600"/>
        <v>703.04240000000004</v>
      </c>
      <c r="K841" s="31">
        <f>K840+0.25</f>
        <v>0.9</v>
      </c>
      <c r="L841" s="19">
        <f t="shared" si="596"/>
        <v>52</v>
      </c>
      <c r="M841" s="32">
        <f t="shared" si="597"/>
        <v>18</v>
      </c>
      <c r="N841" s="11">
        <f t="shared" si="598"/>
        <v>936</v>
      </c>
      <c r="O841" s="11">
        <f t="shared" si="599"/>
        <v>1639.0424</v>
      </c>
      <c r="P841" s="54"/>
      <c r="Q841" s="39"/>
      <c r="R841" s="39"/>
      <c r="U841" s="41"/>
    </row>
    <row r="842" spans="1:21" s="40" customFormat="1" ht="16.8" customHeight="1">
      <c r="A842" s="33">
        <f>IF(H842&lt;&gt;"",1+MAX($A$5:A841),"")</f>
        <v>553</v>
      </c>
      <c r="B842" s="79"/>
      <c r="C842" s="69"/>
      <c r="D842" s="27" t="s">
        <v>556</v>
      </c>
      <c r="E842" s="35">
        <v>6</v>
      </c>
      <c r="F842" s="36">
        <v>0</v>
      </c>
      <c r="G842" s="37">
        <f>(1+F842)*E842</f>
        <v>6</v>
      </c>
      <c r="H842" s="38" t="s">
        <v>3</v>
      </c>
      <c r="I842" s="19">
        <v>12.77216</v>
      </c>
      <c r="J842" s="19">
        <f>G842*I842</f>
        <v>76.632959999999997</v>
      </c>
      <c r="K842" s="31">
        <v>0.55000000000000004</v>
      </c>
      <c r="L842" s="19">
        <f t="shared" si="596"/>
        <v>52</v>
      </c>
      <c r="M842" s="32">
        <f t="shared" si="597"/>
        <v>3.3000000000000003</v>
      </c>
      <c r="N842" s="11">
        <f t="shared" si="598"/>
        <v>171.60000000000002</v>
      </c>
      <c r="O842" s="11">
        <f t="shared" si="599"/>
        <v>248.23296000000002</v>
      </c>
      <c r="P842" s="54"/>
      <c r="Q842" s="39"/>
      <c r="R842" s="39"/>
      <c r="U842" s="41"/>
    </row>
    <row r="843" spans="1:21" s="40" customFormat="1" ht="16.8" customHeight="1">
      <c r="A843" s="33">
        <f>IF(H843&lt;&gt;"",1+MAX($A$5:A842),"")</f>
        <v>554</v>
      </c>
      <c r="B843" s="79"/>
      <c r="C843" s="69"/>
      <c r="D843" s="27" t="s">
        <v>555</v>
      </c>
      <c r="E843" s="35">
        <v>2</v>
      </c>
      <c r="F843" s="36">
        <v>0</v>
      </c>
      <c r="G843" s="37">
        <f>(1+F843)*E843</f>
        <v>2</v>
      </c>
      <c r="H843" s="38" t="s">
        <v>3</v>
      </c>
      <c r="I843" s="19">
        <v>30.85012</v>
      </c>
      <c r="J843" s="19">
        <f t="shared" ref="J843" si="601">G843*I843</f>
        <v>61.700240000000001</v>
      </c>
      <c r="K843" s="31">
        <v>0.65</v>
      </c>
      <c r="L843" s="19">
        <f t="shared" si="596"/>
        <v>52</v>
      </c>
      <c r="M843" s="32">
        <f t="shared" si="597"/>
        <v>1.3</v>
      </c>
      <c r="N843" s="11">
        <f t="shared" si="598"/>
        <v>67.600000000000009</v>
      </c>
      <c r="O843" s="11">
        <f t="shared" si="599"/>
        <v>129.30024</v>
      </c>
      <c r="P843" s="54"/>
      <c r="Q843" s="39"/>
      <c r="R843" s="39"/>
      <c r="U843" s="41"/>
    </row>
    <row r="844" spans="1:21" s="40" customFormat="1" ht="16.8" customHeight="1">
      <c r="A844" s="33" t="str">
        <f>IF(H844&lt;&gt;"",1+MAX($A$5:A843),"")</f>
        <v/>
      </c>
      <c r="B844" s="79"/>
      <c r="C844" s="69"/>
      <c r="D844" s="27" t="s">
        <v>96</v>
      </c>
      <c r="E844" s="35"/>
      <c r="F844" s="36"/>
      <c r="G844" s="37"/>
      <c r="H844" s="38"/>
      <c r="I844" s="19"/>
      <c r="J844" s="19"/>
      <c r="K844" s="31"/>
      <c r="L844" s="19"/>
      <c r="M844" s="32"/>
      <c r="N844" s="11"/>
      <c r="O844" s="11"/>
      <c r="P844" s="54"/>
      <c r="Q844" s="39"/>
      <c r="R844" s="39"/>
      <c r="U844" s="41"/>
    </row>
    <row r="845" spans="1:21" s="40" customFormat="1" ht="16.8" customHeight="1">
      <c r="A845" s="33" t="str">
        <f>IF(H845&lt;&gt;"",1+MAX($A$5:A844),"")</f>
        <v/>
      </c>
      <c r="B845" s="79"/>
      <c r="C845" s="69"/>
      <c r="D845" s="114" t="s">
        <v>554</v>
      </c>
      <c r="E845" s="35"/>
      <c r="F845" s="36"/>
      <c r="G845" s="37"/>
      <c r="H845" s="38"/>
      <c r="I845" s="19"/>
      <c r="J845" s="19"/>
      <c r="K845" s="31"/>
      <c r="L845" s="19"/>
      <c r="M845" s="32"/>
      <c r="N845" s="11"/>
      <c r="O845" s="11"/>
      <c r="P845" s="54"/>
      <c r="Q845" s="39"/>
      <c r="R845" s="39"/>
      <c r="U845" s="41"/>
    </row>
    <row r="846" spans="1:21" s="40" customFormat="1" ht="16.8" customHeight="1">
      <c r="A846" s="33">
        <f>IF(H846&lt;&gt;"",1+MAX($A$5:A845),"")</f>
        <v>555</v>
      </c>
      <c r="B846" s="79"/>
      <c r="C846" s="69"/>
      <c r="D846" s="27" t="s">
        <v>553</v>
      </c>
      <c r="E846" s="35">
        <v>26</v>
      </c>
      <c r="F846" s="36">
        <v>0</v>
      </c>
      <c r="G846" s="37">
        <f t="shared" ref="G846:G853" si="602">(1+F846)*E846</f>
        <v>26</v>
      </c>
      <c r="H846" s="38" t="s">
        <v>3</v>
      </c>
      <c r="I846" s="19">
        <v>76.47999999999999</v>
      </c>
      <c r="J846" s="19">
        <f>G846*I846</f>
        <v>1988.4799999999998</v>
      </c>
      <c r="K846" s="31">
        <v>1</v>
      </c>
      <c r="L846" s="19">
        <f t="shared" ref="L846:L853" si="603">$O$798</f>
        <v>52</v>
      </c>
      <c r="M846" s="32">
        <f t="shared" ref="M846:M853" si="604">K846*G846</f>
        <v>26</v>
      </c>
      <c r="N846" s="11">
        <f t="shared" ref="N846:N853" si="605">M846*L846</f>
        <v>1352</v>
      </c>
      <c r="O846" s="11">
        <f t="shared" ref="O846:O853" si="606">N846+J846</f>
        <v>3340.4799999999996</v>
      </c>
      <c r="P846" s="54"/>
      <c r="Q846" s="39"/>
      <c r="R846" s="39"/>
      <c r="U846" s="41"/>
    </row>
    <row r="847" spans="1:21" s="40" customFormat="1" ht="16.8" customHeight="1">
      <c r="A847" s="33">
        <f>IF(H847&lt;&gt;"",1+MAX($A$5:A846),"")</f>
        <v>556</v>
      </c>
      <c r="B847" s="79"/>
      <c r="C847" s="69"/>
      <c r="D847" s="27" t="s">
        <v>552</v>
      </c>
      <c r="E847" s="35">
        <v>9</v>
      </c>
      <c r="F847" s="36">
        <v>0</v>
      </c>
      <c r="G847" s="37">
        <f t="shared" si="602"/>
        <v>9</v>
      </c>
      <c r="H847" s="38" t="s">
        <v>3</v>
      </c>
      <c r="I847" s="19">
        <v>76.47999999999999</v>
      </c>
      <c r="J847" s="19">
        <f>G847*I847</f>
        <v>688.31999999999994</v>
      </c>
      <c r="K847" s="31">
        <v>1</v>
      </c>
      <c r="L847" s="19">
        <f t="shared" si="603"/>
        <v>52</v>
      </c>
      <c r="M847" s="32">
        <f t="shared" si="604"/>
        <v>9</v>
      </c>
      <c r="N847" s="11">
        <f t="shared" si="605"/>
        <v>468</v>
      </c>
      <c r="O847" s="11">
        <f t="shared" si="606"/>
        <v>1156.32</v>
      </c>
      <c r="P847" s="54"/>
      <c r="Q847" s="39"/>
      <c r="R847" s="39"/>
      <c r="U847" s="41"/>
    </row>
    <row r="848" spans="1:21" s="40" customFormat="1" ht="16.8" customHeight="1">
      <c r="A848" s="33">
        <f>IF(H848&lt;&gt;"",1+MAX($A$5:A847),"")</f>
        <v>557</v>
      </c>
      <c r="B848" s="79"/>
      <c r="C848" s="69"/>
      <c r="D848" s="27" t="s">
        <v>551</v>
      </c>
      <c r="E848" s="35">
        <v>8</v>
      </c>
      <c r="F848" s="36">
        <v>0</v>
      </c>
      <c r="G848" s="37">
        <f t="shared" si="602"/>
        <v>8</v>
      </c>
      <c r="H848" s="38" t="s">
        <v>3</v>
      </c>
      <c r="I848" s="19">
        <v>253.34</v>
      </c>
      <c r="J848" s="19">
        <f t="shared" ref="J848:J853" si="607">G848*I848</f>
        <v>2026.72</v>
      </c>
      <c r="K848" s="31">
        <v>1.8</v>
      </c>
      <c r="L848" s="19">
        <f t="shared" si="603"/>
        <v>52</v>
      </c>
      <c r="M848" s="32">
        <f t="shared" si="604"/>
        <v>14.4</v>
      </c>
      <c r="N848" s="11">
        <f t="shared" si="605"/>
        <v>748.80000000000007</v>
      </c>
      <c r="O848" s="11">
        <f t="shared" si="606"/>
        <v>2775.52</v>
      </c>
      <c r="P848" s="54"/>
      <c r="Q848" s="39"/>
      <c r="R848" s="39"/>
      <c r="U848" s="41"/>
    </row>
    <row r="849" spans="1:21" s="40" customFormat="1" ht="16.8" customHeight="1">
      <c r="A849" s="33">
        <f>IF(H849&lt;&gt;"",1+MAX($A$5:A848),"")</f>
        <v>558</v>
      </c>
      <c r="B849" s="79"/>
      <c r="C849" s="69"/>
      <c r="D849" s="27" t="s">
        <v>71</v>
      </c>
      <c r="E849" s="35">
        <v>26</v>
      </c>
      <c r="F849" s="36">
        <v>0</v>
      </c>
      <c r="G849" s="37">
        <f t="shared" si="602"/>
        <v>26</v>
      </c>
      <c r="H849" s="38" t="s">
        <v>3</v>
      </c>
      <c r="I849" s="19">
        <v>210.32</v>
      </c>
      <c r="J849" s="19">
        <f t="shared" si="607"/>
        <v>5468.32</v>
      </c>
      <c r="K849" s="31">
        <v>1.6</v>
      </c>
      <c r="L849" s="19">
        <f t="shared" si="603"/>
        <v>52</v>
      </c>
      <c r="M849" s="32">
        <f t="shared" si="604"/>
        <v>41.6</v>
      </c>
      <c r="N849" s="11">
        <f t="shared" si="605"/>
        <v>2163.2000000000003</v>
      </c>
      <c r="O849" s="11">
        <f t="shared" si="606"/>
        <v>7631.52</v>
      </c>
      <c r="P849" s="54"/>
      <c r="Q849" s="39"/>
      <c r="R849" s="39"/>
      <c r="U849" s="41"/>
    </row>
    <row r="850" spans="1:21" s="40" customFormat="1" ht="16.8" customHeight="1">
      <c r="A850" s="33">
        <f>IF(H850&lt;&gt;"",1+MAX($A$5:A849),"")</f>
        <v>559</v>
      </c>
      <c r="B850" s="79"/>
      <c r="C850" s="69"/>
      <c r="D850" s="27" t="s">
        <v>550</v>
      </c>
      <c r="E850" s="35">
        <v>1</v>
      </c>
      <c r="F850" s="36">
        <v>0</v>
      </c>
      <c r="G850" s="37">
        <f t="shared" si="602"/>
        <v>1</v>
      </c>
      <c r="H850" s="38" t="s">
        <v>3</v>
      </c>
      <c r="I850" s="19">
        <v>210.32</v>
      </c>
      <c r="J850" s="19">
        <f t="shared" si="607"/>
        <v>210.32</v>
      </c>
      <c r="K850" s="31">
        <v>1.6</v>
      </c>
      <c r="L850" s="19">
        <f t="shared" si="603"/>
        <v>52</v>
      </c>
      <c r="M850" s="32">
        <f t="shared" si="604"/>
        <v>1.6</v>
      </c>
      <c r="N850" s="11">
        <f t="shared" si="605"/>
        <v>83.2</v>
      </c>
      <c r="O850" s="11">
        <f t="shared" si="606"/>
        <v>293.52</v>
      </c>
      <c r="P850" s="54"/>
      <c r="Q850" s="39"/>
      <c r="R850" s="39"/>
      <c r="U850" s="41"/>
    </row>
    <row r="851" spans="1:21" s="40" customFormat="1" ht="16.8" customHeight="1">
      <c r="A851" s="33">
        <f>IF(H851&lt;&gt;"",1+MAX($A$5:A850),"")</f>
        <v>560</v>
      </c>
      <c r="B851" s="79"/>
      <c r="C851" s="69"/>
      <c r="D851" s="27" t="s">
        <v>549</v>
      </c>
      <c r="E851" s="35">
        <v>14</v>
      </c>
      <c r="F851" s="36">
        <v>0</v>
      </c>
      <c r="G851" s="37">
        <f t="shared" si="602"/>
        <v>14</v>
      </c>
      <c r="H851" s="38" t="s">
        <v>3</v>
      </c>
      <c r="I851" s="19">
        <v>129.06</v>
      </c>
      <c r="J851" s="19">
        <f t="shared" si="607"/>
        <v>1806.8400000000001</v>
      </c>
      <c r="K851" s="31">
        <v>1</v>
      </c>
      <c r="L851" s="19">
        <f t="shared" si="603"/>
        <v>52</v>
      </c>
      <c r="M851" s="32">
        <f t="shared" si="604"/>
        <v>14</v>
      </c>
      <c r="N851" s="11">
        <f t="shared" si="605"/>
        <v>728</v>
      </c>
      <c r="O851" s="11">
        <f t="shared" si="606"/>
        <v>2534.84</v>
      </c>
      <c r="P851" s="54"/>
      <c r="Q851" s="39"/>
      <c r="R851" s="39"/>
      <c r="U851" s="41"/>
    </row>
    <row r="852" spans="1:21" s="40" customFormat="1" ht="16.8" customHeight="1">
      <c r="A852" s="33">
        <f>IF(H852&lt;&gt;"",1+MAX($A$5:A851),"")</f>
        <v>561</v>
      </c>
      <c r="B852" s="79"/>
      <c r="C852" s="69"/>
      <c r="D852" s="27" t="s">
        <v>70</v>
      </c>
      <c r="E852" s="35">
        <v>27</v>
      </c>
      <c r="F852" s="36">
        <v>0</v>
      </c>
      <c r="G852" s="37">
        <f t="shared" si="602"/>
        <v>27</v>
      </c>
      <c r="H852" s="38" t="s">
        <v>3</v>
      </c>
      <c r="I852" s="19">
        <v>138.62</v>
      </c>
      <c r="J852" s="19">
        <f t="shared" si="607"/>
        <v>3742.7400000000002</v>
      </c>
      <c r="K852" s="31">
        <v>1</v>
      </c>
      <c r="L852" s="19">
        <f t="shared" si="603"/>
        <v>52</v>
      </c>
      <c r="M852" s="32">
        <f t="shared" si="604"/>
        <v>27</v>
      </c>
      <c r="N852" s="11">
        <f t="shared" si="605"/>
        <v>1404</v>
      </c>
      <c r="O852" s="11">
        <f t="shared" si="606"/>
        <v>5146.74</v>
      </c>
      <c r="P852" s="54"/>
      <c r="Q852" s="39"/>
      <c r="R852" s="39"/>
      <c r="U852" s="41"/>
    </row>
    <row r="853" spans="1:21" s="40" customFormat="1" ht="16.8" customHeight="1">
      <c r="A853" s="33">
        <f>IF(H853&lt;&gt;"",1+MAX($A$5:A852),"")</f>
        <v>562</v>
      </c>
      <c r="B853" s="79"/>
      <c r="C853" s="69"/>
      <c r="D853" s="27" t="s">
        <v>69</v>
      </c>
      <c r="E853" s="35">
        <v>2</v>
      </c>
      <c r="F853" s="36">
        <v>0</v>
      </c>
      <c r="G853" s="37">
        <f t="shared" si="602"/>
        <v>2</v>
      </c>
      <c r="H853" s="38" t="s">
        <v>3</v>
      </c>
      <c r="I853" s="19">
        <v>138.62</v>
      </c>
      <c r="J853" s="19">
        <f t="shared" si="607"/>
        <v>277.24</v>
      </c>
      <c r="K853" s="31">
        <v>1</v>
      </c>
      <c r="L853" s="19">
        <f t="shared" si="603"/>
        <v>52</v>
      </c>
      <c r="M853" s="32">
        <f t="shared" si="604"/>
        <v>2</v>
      </c>
      <c r="N853" s="11">
        <f t="shared" si="605"/>
        <v>104</v>
      </c>
      <c r="O853" s="11">
        <f t="shared" si="606"/>
        <v>381.24</v>
      </c>
      <c r="P853" s="54"/>
      <c r="Q853" s="39"/>
      <c r="R853" s="39"/>
      <c r="U853" s="41"/>
    </row>
    <row r="854" spans="1:21" s="40" customFormat="1" ht="16.8" customHeight="1">
      <c r="A854" s="33" t="str">
        <f>IF(H854&lt;&gt;"",1+MAX($A$5:A853),"")</f>
        <v/>
      </c>
      <c r="B854" s="79"/>
      <c r="C854" s="69"/>
      <c r="D854" s="27" t="s">
        <v>96</v>
      </c>
      <c r="E854" s="35"/>
      <c r="F854" s="36"/>
      <c r="G854" s="37"/>
      <c r="H854" s="38"/>
      <c r="I854" s="19"/>
      <c r="J854" s="19"/>
      <c r="K854" s="31"/>
      <c r="L854" s="19"/>
      <c r="M854" s="32"/>
      <c r="N854" s="11"/>
      <c r="O854" s="11"/>
      <c r="P854" s="54"/>
      <c r="Q854" s="39"/>
      <c r="R854" s="39"/>
      <c r="U854" s="41"/>
    </row>
    <row r="855" spans="1:21" s="40" customFormat="1" ht="16.8" customHeight="1">
      <c r="A855" s="33" t="str">
        <f>IF(H855&lt;&gt;"",1+MAX($A$5:A854),"")</f>
        <v/>
      </c>
      <c r="B855" s="79"/>
      <c r="C855" s="69"/>
      <c r="D855" s="114" t="s">
        <v>548</v>
      </c>
      <c r="E855" s="35"/>
      <c r="F855" s="36"/>
      <c r="G855" s="37"/>
      <c r="H855" s="38"/>
      <c r="I855" s="19"/>
      <c r="J855" s="19"/>
      <c r="K855" s="31"/>
      <c r="L855" s="19"/>
      <c r="M855" s="32"/>
      <c r="N855" s="11"/>
      <c r="O855" s="11"/>
      <c r="P855" s="54"/>
      <c r="Q855" s="39"/>
      <c r="R855" s="39"/>
      <c r="U855" s="41"/>
    </row>
    <row r="856" spans="1:21" s="40" customFormat="1" ht="16.8" customHeight="1">
      <c r="A856" s="33">
        <f>IF(H856&lt;&gt;"",1+MAX($A$5:A855),"")</f>
        <v>563</v>
      </c>
      <c r="B856" s="79"/>
      <c r="C856" s="69"/>
      <c r="D856" s="27" t="s">
        <v>68</v>
      </c>
      <c r="E856" s="35">
        <v>38</v>
      </c>
      <c r="F856" s="36">
        <v>0</v>
      </c>
      <c r="G856" s="37">
        <f>(1+F856)*E856</f>
        <v>38</v>
      </c>
      <c r="H856" s="38" t="s">
        <v>3</v>
      </c>
      <c r="I856" s="19">
        <v>28.957239999999999</v>
      </c>
      <c r="J856" s="19">
        <f>G856*I856</f>
        <v>1100.3751199999999</v>
      </c>
      <c r="K856" s="31">
        <v>0.47099999999999997</v>
      </c>
      <c r="L856" s="19">
        <f>$O$798</f>
        <v>52</v>
      </c>
      <c r="M856" s="32">
        <f t="shared" ref="M856:M857" si="608">K856*G856</f>
        <v>17.898</v>
      </c>
      <c r="N856" s="11">
        <f t="shared" ref="N856:N857" si="609">M856*L856</f>
        <v>930.69600000000003</v>
      </c>
      <c r="O856" s="11">
        <f t="shared" ref="O856:O857" si="610">N856+J856</f>
        <v>2031.0711200000001</v>
      </c>
      <c r="P856" s="54"/>
      <c r="Q856" s="39"/>
      <c r="R856" s="39"/>
      <c r="U856" s="41"/>
    </row>
    <row r="857" spans="1:21" s="40" customFormat="1" ht="16.8" customHeight="1">
      <c r="A857" s="33">
        <f>IF(H857&lt;&gt;"",1+MAX($A$5:A856),"")</f>
        <v>564</v>
      </c>
      <c r="B857" s="79"/>
      <c r="C857" s="69"/>
      <c r="D857" s="27" t="s">
        <v>67</v>
      </c>
      <c r="E857" s="35">
        <v>31</v>
      </c>
      <c r="F857" s="36">
        <v>0</v>
      </c>
      <c r="G857" s="37">
        <f>(1+F857)*E857</f>
        <v>31</v>
      </c>
      <c r="H857" s="38" t="s">
        <v>3</v>
      </c>
      <c r="I857" s="19">
        <v>12.246359999999999</v>
      </c>
      <c r="J857" s="19">
        <f>G857*I857</f>
        <v>379.63715999999999</v>
      </c>
      <c r="K857" s="31">
        <v>0.46800000000000003</v>
      </c>
      <c r="L857" s="19">
        <f>$O$798</f>
        <v>52</v>
      </c>
      <c r="M857" s="32">
        <f t="shared" si="608"/>
        <v>14.508000000000001</v>
      </c>
      <c r="N857" s="11">
        <f t="shared" si="609"/>
        <v>754.41600000000005</v>
      </c>
      <c r="O857" s="11">
        <f t="shared" si="610"/>
        <v>1134.0531599999999</v>
      </c>
      <c r="P857" s="54"/>
      <c r="Q857" s="39"/>
      <c r="R857" s="39"/>
      <c r="U857" s="41"/>
    </row>
    <row r="858" spans="1:21" s="40" customFormat="1" ht="16.8" customHeight="1">
      <c r="A858" s="33" t="str">
        <f>IF(H858&lt;&gt;"",1+MAX($A$5:A857),"")</f>
        <v/>
      </c>
      <c r="B858" s="79"/>
      <c r="C858" s="69"/>
      <c r="D858" s="27" t="s">
        <v>96</v>
      </c>
      <c r="E858" s="35"/>
      <c r="F858" s="36"/>
      <c r="G858" s="37"/>
      <c r="H858" s="38"/>
      <c r="I858" s="19"/>
      <c r="J858" s="19"/>
      <c r="K858" s="31"/>
      <c r="L858" s="19"/>
      <c r="M858" s="32"/>
      <c r="N858" s="11"/>
      <c r="O858" s="11"/>
      <c r="P858" s="54"/>
      <c r="Q858" s="39"/>
      <c r="R858" s="39"/>
      <c r="U858" s="41"/>
    </row>
    <row r="859" spans="1:21" s="40" customFormat="1" ht="16.8" customHeight="1">
      <c r="A859" s="33" t="str">
        <f>IF(H859&lt;&gt;"",1+MAX($A$5:A858),"")</f>
        <v/>
      </c>
      <c r="B859" s="79"/>
      <c r="C859" s="69"/>
      <c r="D859" s="114" t="s">
        <v>547</v>
      </c>
      <c r="E859" s="35"/>
      <c r="F859" s="36"/>
      <c r="G859" s="37"/>
      <c r="H859" s="38"/>
      <c r="I859" s="19"/>
      <c r="J859" s="19"/>
      <c r="K859" s="31"/>
      <c r="L859" s="19"/>
      <c r="M859" s="32"/>
      <c r="N859" s="11"/>
      <c r="O859" s="11"/>
      <c r="P859" s="54"/>
      <c r="Q859" s="39"/>
      <c r="R859" s="39"/>
      <c r="U859" s="41"/>
    </row>
    <row r="860" spans="1:21" s="40" customFormat="1" ht="16.8" customHeight="1">
      <c r="A860" s="33">
        <f>IF(H860&lt;&gt;"",1+MAX($A$5:A859),"")</f>
        <v>565</v>
      </c>
      <c r="B860" s="79"/>
      <c r="C860" s="69"/>
      <c r="D860" s="27" t="s">
        <v>546</v>
      </c>
      <c r="E860" s="35">
        <v>1</v>
      </c>
      <c r="F860" s="36">
        <v>0</v>
      </c>
      <c r="G860" s="37">
        <f>(1+F860)*E860</f>
        <v>1</v>
      </c>
      <c r="H860" s="38" t="s">
        <v>3</v>
      </c>
      <c r="I860" s="19">
        <v>423.23713333333336</v>
      </c>
      <c r="J860" s="19">
        <f>G860*I860</f>
        <v>423.23713333333336</v>
      </c>
      <c r="K860" s="31">
        <v>1.67</v>
      </c>
      <c r="L860" s="19">
        <f t="shared" ref="L860:L862" si="611">$O$798</f>
        <v>52</v>
      </c>
      <c r="M860" s="32">
        <f t="shared" ref="M860:M862" si="612">K860*G860</f>
        <v>1.67</v>
      </c>
      <c r="N860" s="11">
        <f t="shared" ref="N860:N862" si="613">M860*L860</f>
        <v>86.84</v>
      </c>
      <c r="O860" s="11">
        <f t="shared" ref="O860:O862" si="614">N860+J860</f>
        <v>510.07713333333334</v>
      </c>
      <c r="P860" s="54"/>
      <c r="Q860" s="39"/>
      <c r="R860" s="39"/>
      <c r="U860" s="41"/>
    </row>
    <row r="861" spans="1:21" s="40" customFormat="1" ht="16.8" customHeight="1">
      <c r="A861" s="33">
        <f>IF(H861&lt;&gt;"",1+MAX($A$5:A860),"")</f>
        <v>566</v>
      </c>
      <c r="B861" s="79"/>
      <c r="C861" s="69"/>
      <c r="D861" s="27" t="s">
        <v>545</v>
      </c>
      <c r="E861" s="35">
        <v>1</v>
      </c>
      <c r="F861" s="36">
        <v>0</v>
      </c>
      <c r="G861" s="37">
        <f>(1+F861)*E861</f>
        <v>1</v>
      </c>
      <c r="H861" s="38" t="s">
        <v>3</v>
      </c>
      <c r="I861" s="19">
        <v>458.88</v>
      </c>
      <c r="J861" s="19">
        <f>G861*I861</f>
        <v>458.88</v>
      </c>
      <c r="K861" s="31">
        <v>1.8</v>
      </c>
      <c r="L861" s="19">
        <f t="shared" si="611"/>
        <v>52</v>
      </c>
      <c r="M861" s="32">
        <f t="shared" si="612"/>
        <v>1.8</v>
      </c>
      <c r="N861" s="11">
        <f t="shared" si="613"/>
        <v>93.600000000000009</v>
      </c>
      <c r="O861" s="11">
        <f t="shared" si="614"/>
        <v>552.48</v>
      </c>
      <c r="P861" s="54"/>
      <c r="Q861" s="39"/>
      <c r="R861" s="39"/>
      <c r="U861" s="41"/>
    </row>
    <row r="862" spans="1:21" s="40" customFormat="1" ht="16.8" customHeight="1">
      <c r="A862" s="33">
        <f>IF(H862&lt;&gt;"",1+MAX($A$5:A861),"")</f>
        <v>567</v>
      </c>
      <c r="B862" s="79"/>
      <c r="C862" s="69"/>
      <c r="D862" s="27" t="s">
        <v>544</v>
      </c>
      <c r="E862" s="35">
        <v>1</v>
      </c>
      <c r="F862" s="36">
        <v>0</v>
      </c>
      <c r="G862" s="37">
        <f>(1+F862)*E862</f>
        <v>1</v>
      </c>
      <c r="H862" s="38" t="s">
        <v>3</v>
      </c>
      <c r="I862" s="19">
        <v>516.24</v>
      </c>
      <c r="J862" s="19">
        <f>G862*I862</f>
        <v>516.24</v>
      </c>
      <c r="K862" s="31">
        <v>2</v>
      </c>
      <c r="L862" s="19">
        <f t="shared" si="611"/>
        <v>52</v>
      </c>
      <c r="M862" s="32">
        <f t="shared" si="612"/>
        <v>2</v>
      </c>
      <c r="N862" s="11">
        <f t="shared" si="613"/>
        <v>104</v>
      </c>
      <c r="O862" s="11">
        <f t="shared" si="614"/>
        <v>620.24</v>
      </c>
      <c r="P862" s="54"/>
      <c r="Q862" s="39"/>
      <c r="R862" s="39"/>
      <c r="U862" s="41"/>
    </row>
    <row r="863" spans="1:21" s="40" customFormat="1" ht="16.8" customHeight="1">
      <c r="A863" s="33" t="str">
        <f>IF(H863&lt;&gt;"",1+MAX($A$5:A862),"")</f>
        <v/>
      </c>
      <c r="B863" s="79"/>
      <c r="C863" s="69"/>
      <c r="D863" s="27" t="s">
        <v>96</v>
      </c>
      <c r="E863" s="35"/>
      <c r="F863" s="36"/>
      <c r="G863" s="37"/>
      <c r="H863" s="38"/>
      <c r="I863" s="19"/>
      <c r="J863" s="19"/>
      <c r="K863" s="31"/>
      <c r="L863" s="19"/>
      <c r="M863" s="32"/>
      <c r="N863" s="11"/>
      <c r="O863" s="11"/>
      <c r="P863" s="54"/>
      <c r="Q863" s="39"/>
      <c r="R863" s="39"/>
      <c r="U863" s="41"/>
    </row>
    <row r="864" spans="1:21" s="40" customFormat="1" ht="16.8" customHeight="1">
      <c r="A864" s="33" t="str">
        <f>IF(H864&lt;&gt;"",1+MAX($A$5:A863),"")</f>
        <v/>
      </c>
      <c r="B864" s="79"/>
      <c r="C864" s="69"/>
      <c r="D864" s="114" t="s">
        <v>543</v>
      </c>
      <c r="E864" s="35"/>
      <c r="F864" s="36"/>
      <c r="G864" s="37"/>
      <c r="H864" s="38"/>
      <c r="I864" s="19"/>
      <c r="J864" s="19"/>
      <c r="K864" s="31"/>
      <c r="L864" s="19"/>
      <c r="M864" s="32"/>
      <c r="N864" s="11"/>
      <c r="O864" s="11"/>
      <c r="P864" s="54"/>
      <c r="Q864" s="39"/>
      <c r="R864" s="39"/>
      <c r="U864" s="41"/>
    </row>
    <row r="865" spans="1:21" s="40" customFormat="1" ht="16.8" customHeight="1">
      <c r="A865" s="33">
        <f>IF(H865&lt;&gt;"",1+MAX($A$5:A864),"")</f>
        <v>568</v>
      </c>
      <c r="B865" s="79"/>
      <c r="C865" s="69"/>
      <c r="D865" s="27" t="s">
        <v>542</v>
      </c>
      <c r="E865" s="35">
        <v>1</v>
      </c>
      <c r="F865" s="36">
        <v>0</v>
      </c>
      <c r="G865" s="37">
        <f t="shared" ref="G865:G880" si="615">(1+F865)*E865</f>
        <v>1</v>
      </c>
      <c r="H865" s="38" t="s">
        <v>3</v>
      </c>
      <c r="I865" s="19">
        <v>1471.4274</v>
      </c>
      <c r="J865" s="19">
        <f>G865*I865</f>
        <v>1471.4274</v>
      </c>
      <c r="K865" s="31">
        <v>2</v>
      </c>
      <c r="L865" s="19">
        <f>$O$798</f>
        <v>52</v>
      </c>
      <c r="M865" s="32">
        <f t="shared" ref="M865" si="616">K865*G865</f>
        <v>2</v>
      </c>
      <c r="N865" s="11">
        <f t="shared" ref="N865" si="617">M865*L865</f>
        <v>104</v>
      </c>
      <c r="O865" s="11">
        <f t="shared" ref="O865" si="618">N865+J865</f>
        <v>1575.4274</v>
      </c>
      <c r="P865" s="54"/>
      <c r="Q865" s="39"/>
      <c r="R865" s="39"/>
      <c r="U865" s="41"/>
    </row>
    <row r="866" spans="1:21" s="40" customFormat="1" ht="16.8" customHeight="1">
      <c r="A866" s="33">
        <f>IF(H866&lt;&gt;"",1+MAX($A$5:A865),"")</f>
        <v>569</v>
      </c>
      <c r="B866" s="79"/>
      <c r="C866" s="69"/>
      <c r="D866" s="95" t="s">
        <v>533</v>
      </c>
      <c r="E866" s="35">
        <v>5</v>
      </c>
      <c r="F866" s="36">
        <v>0</v>
      </c>
      <c r="G866" s="37">
        <f t="shared" si="615"/>
        <v>5</v>
      </c>
      <c r="H866" s="38" t="s">
        <v>3</v>
      </c>
      <c r="I866" s="19"/>
      <c r="J866" s="19"/>
      <c r="K866" s="31"/>
      <c r="L866" s="19"/>
      <c r="M866" s="32"/>
      <c r="N866" s="11"/>
      <c r="O866" s="11"/>
      <c r="P866" s="54"/>
      <c r="Q866" s="39"/>
      <c r="R866" s="39"/>
      <c r="U866" s="41"/>
    </row>
    <row r="867" spans="1:21" s="40" customFormat="1" ht="16.8" customHeight="1">
      <c r="A867" s="33">
        <f>IF(H867&lt;&gt;"",1+MAX($A$5:A866),"")</f>
        <v>570</v>
      </c>
      <c r="B867" s="79"/>
      <c r="C867" s="69"/>
      <c r="D867" s="95" t="s">
        <v>532</v>
      </c>
      <c r="E867" s="35">
        <v>17</v>
      </c>
      <c r="F867" s="36">
        <v>0</v>
      </c>
      <c r="G867" s="37">
        <f t="shared" si="615"/>
        <v>17</v>
      </c>
      <c r="H867" s="38" t="s">
        <v>3</v>
      </c>
      <c r="I867" s="19"/>
      <c r="J867" s="19"/>
      <c r="K867" s="31"/>
      <c r="L867" s="19"/>
      <c r="M867" s="32"/>
      <c r="N867" s="11"/>
      <c r="O867" s="11"/>
      <c r="P867" s="54"/>
      <c r="Q867" s="39"/>
      <c r="R867" s="39"/>
      <c r="U867" s="41"/>
    </row>
    <row r="868" spans="1:21" s="40" customFormat="1" ht="16.8" customHeight="1">
      <c r="A868" s="33">
        <f>IF(H868&lt;&gt;"",1+MAX($A$5:A867),"")</f>
        <v>571</v>
      </c>
      <c r="B868" s="79"/>
      <c r="C868" s="69"/>
      <c r="D868" s="95" t="s">
        <v>537</v>
      </c>
      <c r="E868" s="35">
        <v>1</v>
      </c>
      <c r="F868" s="36">
        <v>0</v>
      </c>
      <c r="G868" s="37">
        <f t="shared" si="615"/>
        <v>1</v>
      </c>
      <c r="H868" s="38" t="s">
        <v>3</v>
      </c>
      <c r="I868" s="19"/>
      <c r="J868" s="19"/>
      <c r="K868" s="31"/>
      <c r="L868" s="19"/>
      <c r="M868" s="32"/>
      <c r="N868" s="11"/>
      <c r="O868" s="11"/>
      <c r="P868" s="54"/>
      <c r="Q868" s="39"/>
      <c r="R868" s="39"/>
      <c r="U868" s="41"/>
    </row>
    <row r="869" spans="1:21" s="40" customFormat="1" ht="16.8" customHeight="1">
      <c r="A869" s="33">
        <f>IF(H869&lt;&gt;"",1+MAX($A$5:A868),"")</f>
        <v>572</v>
      </c>
      <c r="B869" s="79"/>
      <c r="C869" s="69"/>
      <c r="D869" s="95" t="s">
        <v>535</v>
      </c>
      <c r="E869" s="35">
        <v>1</v>
      </c>
      <c r="F869" s="36">
        <v>0</v>
      </c>
      <c r="G869" s="37">
        <f t="shared" si="615"/>
        <v>1</v>
      </c>
      <c r="H869" s="38" t="s">
        <v>3</v>
      </c>
      <c r="I869" s="19"/>
      <c r="J869" s="19"/>
      <c r="K869" s="31"/>
      <c r="L869" s="19"/>
      <c r="M869" s="32"/>
      <c r="N869" s="11"/>
      <c r="O869" s="11"/>
      <c r="P869" s="54"/>
      <c r="Q869" s="39"/>
      <c r="R869" s="39"/>
      <c r="U869" s="41"/>
    </row>
    <row r="870" spans="1:21" s="40" customFormat="1" ht="16.8" customHeight="1">
      <c r="A870" s="33">
        <f>IF(H870&lt;&gt;"",1+MAX($A$5:A869),"")</f>
        <v>573</v>
      </c>
      <c r="B870" s="79"/>
      <c r="C870" s="69"/>
      <c r="D870" s="27" t="s">
        <v>541</v>
      </c>
      <c r="E870" s="35">
        <v>1</v>
      </c>
      <c r="F870" s="36">
        <v>0</v>
      </c>
      <c r="G870" s="37">
        <f t="shared" si="615"/>
        <v>1</v>
      </c>
      <c r="H870" s="38" t="s">
        <v>3</v>
      </c>
      <c r="I870" s="19">
        <v>1234.1004</v>
      </c>
      <c r="J870" s="19">
        <f t="shared" ref="J870:J878" si="619">G870*I870</f>
        <v>1234.1004</v>
      </c>
      <c r="K870" s="31">
        <v>2.9630000000000001</v>
      </c>
      <c r="L870" s="19">
        <f>$O$798</f>
        <v>52</v>
      </c>
      <c r="M870" s="32">
        <f t="shared" ref="M870" si="620">K870*G870</f>
        <v>2.9630000000000001</v>
      </c>
      <c r="N870" s="11">
        <f t="shared" ref="N870" si="621">M870*L870</f>
        <v>154.07599999999999</v>
      </c>
      <c r="O870" s="11">
        <f t="shared" ref="O870" si="622">N870+J870</f>
        <v>1388.1764000000001</v>
      </c>
      <c r="P870" s="54"/>
      <c r="Q870" s="39"/>
      <c r="R870" s="39"/>
      <c r="U870" s="41"/>
    </row>
    <row r="871" spans="1:21" s="40" customFormat="1" ht="16.8" customHeight="1">
      <c r="A871" s="33">
        <f>IF(H871&lt;&gt;"",1+MAX($A$5:A870),"")</f>
        <v>574</v>
      </c>
      <c r="B871" s="79"/>
      <c r="C871" s="69"/>
      <c r="D871" s="95" t="s">
        <v>540</v>
      </c>
      <c r="E871" s="35">
        <v>3</v>
      </c>
      <c r="F871" s="36">
        <v>0</v>
      </c>
      <c r="G871" s="37">
        <f t="shared" si="615"/>
        <v>3</v>
      </c>
      <c r="H871" s="38" t="s">
        <v>3</v>
      </c>
      <c r="I871" s="19"/>
      <c r="J871" s="19"/>
      <c r="K871" s="31"/>
      <c r="L871" s="19"/>
      <c r="M871" s="32"/>
      <c r="N871" s="11"/>
      <c r="O871" s="11"/>
      <c r="P871" s="54"/>
      <c r="Q871" s="39"/>
      <c r="R871" s="39"/>
      <c r="U871" s="41"/>
    </row>
    <row r="872" spans="1:21" s="40" customFormat="1" ht="16.8" customHeight="1">
      <c r="A872" s="33">
        <f>IF(H872&lt;&gt;"",1+MAX($A$5:A871),"")</f>
        <v>575</v>
      </c>
      <c r="B872" s="79"/>
      <c r="C872" s="69"/>
      <c r="D872" s="95" t="s">
        <v>532</v>
      </c>
      <c r="E872" s="35">
        <v>10</v>
      </c>
      <c r="F872" s="36">
        <v>0</v>
      </c>
      <c r="G872" s="37">
        <f t="shared" si="615"/>
        <v>10</v>
      </c>
      <c r="H872" s="38" t="s">
        <v>3</v>
      </c>
      <c r="I872" s="19"/>
      <c r="J872" s="19"/>
      <c r="K872" s="31"/>
      <c r="L872" s="19"/>
      <c r="M872" s="32"/>
      <c r="N872" s="11"/>
      <c r="O872" s="11"/>
      <c r="P872" s="54"/>
      <c r="Q872" s="39"/>
      <c r="R872" s="39"/>
      <c r="U872" s="41"/>
    </row>
    <row r="873" spans="1:21" s="40" customFormat="1" ht="16.8" customHeight="1">
      <c r="A873" s="33">
        <f>IF(H873&lt;&gt;"",1+MAX($A$5:A872),"")</f>
        <v>576</v>
      </c>
      <c r="B873" s="79"/>
      <c r="C873" s="69"/>
      <c r="D873" s="95" t="s">
        <v>539</v>
      </c>
      <c r="E873" s="35">
        <v>1</v>
      </c>
      <c r="F873" s="36">
        <v>0</v>
      </c>
      <c r="G873" s="37">
        <f t="shared" si="615"/>
        <v>1</v>
      </c>
      <c r="H873" s="38" t="s">
        <v>3</v>
      </c>
      <c r="I873" s="19"/>
      <c r="J873" s="19"/>
      <c r="K873" s="31"/>
      <c r="L873" s="19"/>
      <c r="M873" s="32"/>
      <c r="N873" s="11"/>
      <c r="O873" s="11"/>
      <c r="P873" s="54"/>
      <c r="Q873" s="39"/>
      <c r="R873" s="39"/>
      <c r="U873" s="41"/>
    </row>
    <row r="874" spans="1:21" s="40" customFormat="1" ht="16.8" customHeight="1">
      <c r="A874" s="33">
        <f>IF(H874&lt;&gt;"",1+MAX($A$5:A873),"")</f>
        <v>577</v>
      </c>
      <c r="B874" s="79"/>
      <c r="C874" s="69"/>
      <c r="D874" s="95" t="s">
        <v>538</v>
      </c>
      <c r="E874" s="35">
        <v>1</v>
      </c>
      <c r="F874" s="36">
        <v>0</v>
      </c>
      <c r="G874" s="37">
        <f t="shared" si="615"/>
        <v>1</v>
      </c>
      <c r="H874" s="38" t="s">
        <v>3</v>
      </c>
      <c r="I874" s="19"/>
      <c r="J874" s="19"/>
      <c r="K874" s="31"/>
      <c r="L874" s="19"/>
      <c r="M874" s="32"/>
      <c r="N874" s="11"/>
      <c r="O874" s="11"/>
      <c r="P874" s="54"/>
      <c r="Q874" s="39"/>
      <c r="R874" s="39"/>
      <c r="U874" s="41"/>
    </row>
    <row r="875" spans="1:21" s="40" customFormat="1" ht="16.8" customHeight="1">
      <c r="A875" s="33">
        <f>IF(H875&lt;&gt;"",1+MAX($A$5:A874),"")</f>
        <v>578</v>
      </c>
      <c r="B875" s="79"/>
      <c r="C875" s="69"/>
      <c r="D875" s="95" t="s">
        <v>537</v>
      </c>
      <c r="E875" s="35">
        <v>1</v>
      </c>
      <c r="F875" s="36">
        <v>0</v>
      </c>
      <c r="G875" s="37">
        <f t="shared" si="615"/>
        <v>1</v>
      </c>
      <c r="H875" s="38" t="s">
        <v>3</v>
      </c>
      <c r="I875" s="19"/>
      <c r="J875" s="19"/>
      <c r="K875" s="31"/>
      <c r="L875" s="19"/>
      <c r="M875" s="32"/>
      <c r="N875" s="11"/>
      <c r="O875" s="11"/>
      <c r="P875" s="54"/>
      <c r="Q875" s="39"/>
      <c r="R875" s="39"/>
      <c r="U875" s="41"/>
    </row>
    <row r="876" spans="1:21" s="40" customFormat="1" ht="16.8" customHeight="1">
      <c r="A876" s="33">
        <f>IF(H876&lt;&gt;"",1+MAX($A$5:A875),"")</f>
        <v>579</v>
      </c>
      <c r="B876" s="79"/>
      <c r="C876" s="69"/>
      <c r="D876" s="95" t="s">
        <v>536</v>
      </c>
      <c r="E876" s="35">
        <v>1</v>
      </c>
      <c r="F876" s="36">
        <v>0</v>
      </c>
      <c r="G876" s="37">
        <f t="shared" si="615"/>
        <v>1</v>
      </c>
      <c r="H876" s="38" t="s">
        <v>3</v>
      </c>
      <c r="I876" s="19"/>
      <c r="J876" s="19"/>
      <c r="K876" s="31"/>
      <c r="L876" s="19"/>
      <c r="M876" s="32"/>
      <c r="N876" s="11"/>
      <c r="O876" s="11"/>
      <c r="P876" s="54"/>
      <c r="Q876" s="39"/>
      <c r="R876" s="39"/>
      <c r="U876" s="41"/>
    </row>
    <row r="877" spans="1:21" s="40" customFormat="1" ht="16.8" customHeight="1">
      <c r="A877" s="33">
        <f>IF(H877&lt;&gt;"",1+MAX($A$5:A876),"")</f>
        <v>580</v>
      </c>
      <c r="B877" s="79"/>
      <c r="C877" s="69"/>
      <c r="D877" s="95" t="s">
        <v>535</v>
      </c>
      <c r="E877" s="35">
        <v>1</v>
      </c>
      <c r="F877" s="36">
        <v>0</v>
      </c>
      <c r="G877" s="37">
        <f t="shared" si="615"/>
        <v>1</v>
      </c>
      <c r="H877" s="38" t="s">
        <v>3</v>
      </c>
      <c r="I877" s="19"/>
      <c r="J877" s="19"/>
      <c r="K877" s="31"/>
      <c r="L877" s="19"/>
      <c r="M877" s="32"/>
      <c r="N877" s="11"/>
      <c r="O877" s="11"/>
      <c r="P877" s="54"/>
      <c r="Q877" s="39"/>
      <c r="R877" s="39"/>
      <c r="U877" s="41"/>
    </row>
    <row r="878" spans="1:21" s="40" customFormat="1" ht="16.8" customHeight="1">
      <c r="A878" s="33">
        <f>IF(H878&lt;&gt;"",1+MAX($A$5:A877),"")</f>
        <v>581</v>
      </c>
      <c r="B878" s="79"/>
      <c r="C878" s="69"/>
      <c r="D878" s="27" t="s">
        <v>534</v>
      </c>
      <c r="E878" s="35">
        <v>1</v>
      </c>
      <c r="F878" s="36">
        <v>0</v>
      </c>
      <c r="G878" s="37">
        <f t="shared" si="615"/>
        <v>1</v>
      </c>
      <c r="H878" s="38" t="s">
        <v>3</v>
      </c>
      <c r="I878" s="19">
        <v>802.17003999999997</v>
      </c>
      <c r="J878" s="19">
        <f t="shared" si="619"/>
        <v>802.17003999999997</v>
      </c>
      <c r="K878" s="31">
        <v>1.5089999999999999</v>
      </c>
      <c r="L878" s="19">
        <f>$O$798</f>
        <v>52</v>
      </c>
      <c r="M878" s="32">
        <f t="shared" ref="M878" si="623">K878*G878</f>
        <v>1.5089999999999999</v>
      </c>
      <c r="N878" s="11">
        <f t="shared" ref="N878" si="624">M878*L878</f>
        <v>78.467999999999989</v>
      </c>
      <c r="O878" s="11">
        <f t="shared" ref="O878" si="625">N878+J878</f>
        <v>880.63803999999993</v>
      </c>
      <c r="P878" s="54"/>
      <c r="Q878" s="39"/>
      <c r="R878" s="39"/>
      <c r="U878" s="41"/>
    </row>
    <row r="879" spans="1:21" s="40" customFormat="1" ht="16.8" customHeight="1">
      <c r="A879" s="33">
        <f>IF(H879&lt;&gt;"",1+MAX($A$5:A878),"")</f>
        <v>582</v>
      </c>
      <c r="B879" s="79"/>
      <c r="C879" s="69"/>
      <c r="D879" s="95" t="s">
        <v>533</v>
      </c>
      <c r="E879" s="35">
        <v>1</v>
      </c>
      <c r="F879" s="36">
        <v>0</v>
      </c>
      <c r="G879" s="37">
        <f t="shared" si="615"/>
        <v>1</v>
      </c>
      <c r="H879" s="38" t="s">
        <v>3</v>
      </c>
      <c r="I879" s="19"/>
      <c r="J879" s="19"/>
      <c r="K879" s="31"/>
      <c r="L879" s="19"/>
      <c r="M879" s="32"/>
      <c r="N879" s="11"/>
      <c r="O879" s="11"/>
      <c r="P879" s="54"/>
      <c r="Q879" s="39"/>
      <c r="R879" s="39"/>
      <c r="U879" s="41"/>
    </row>
    <row r="880" spans="1:21" s="40" customFormat="1" ht="16.8" customHeight="1">
      <c r="A880" s="33">
        <f>IF(H880&lt;&gt;"",1+MAX($A$5:A879),"")</f>
        <v>583</v>
      </c>
      <c r="B880" s="79"/>
      <c r="C880" s="69"/>
      <c r="D880" s="95" t="s">
        <v>532</v>
      </c>
      <c r="E880" s="35">
        <v>1</v>
      </c>
      <c r="F880" s="36">
        <v>0</v>
      </c>
      <c r="G880" s="37">
        <f t="shared" si="615"/>
        <v>1</v>
      </c>
      <c r="H880" s="38" t="s">
        <v>3</v>
      </c>
      <c r="I880" s="19"/>
      <c r="J880" s="19"/>
      <c r="K880" s="31"/>
      <c r="L880" s="19"/>
      <c r="M880" s="32"/>
      <c r="N880" s="11"/>
      <c r="O880" s="11"/>
      <c r="P880" s="54"/>
      <c r="Q880" s="39"/>
      <c r="R880" s="39"/>
      <c r="U880" s="41"/>
    </row>
    <row r="881" spans="1:21" s="40" customFormat="1" ht="16.8" customHeight="1">
      <c r="A881" s="33" t="str">
        <f>IF(H881&lt;&gt;"",1+MAX($A$5:A880),"")</f>
        <v/>
      </c>
      <c r="B881" s="79"/>
      <c r="C881" s="69"/>
      <c r="D881" s="27"/>
      <c r="E881" s="35"/>
      <c r="F881" s="36"/>
      <c r="G881" s="37"/>
      <c r="H881" s="38"/>
      <c r="I881" s="19"/>
      <c r="J881" s="19"/>
      <c r="K881" s="31"/>
      <c r="L881" s="19"/>
      <c r="M881" s="32"/>
      <c r="N881" s="11"/>
      <c r="O881" s="11"/>
      <c r="P881" s="54"/>
      <c r="Q881" s="39"/>
      <c r="R881" s="39"/>
      <c r="U881" s="41"/>
    </row>
    <row r="882" spans="1:21" s="107" customFormat="1" ht="18">
      <c r="A882" s="98" t="str">
        <f>IF(H882&lt;&gt;"",1+MAX($A$5:A882),"")</f>
        <v/>
      </c>
      <c r="B882" s="99"/>
      <c r="C882" s="99"/>
      <c r="D882" s="100" t="s">
        <v>585</v>
      </c>
      <c r="E882" s="101"/>
      <c r="F882" s="102"/>
      <c r="G882" s="103"/>
      <c r="H882" s="102"/>
      <c r="I882" s="102"/>
      <c r="J882" s="102"/>
      <c r="K882" s="102"/>
      <c r="L882" s="102"/>
      <c r="M882" s="102"/>
      <c r="N882" s="104"/>
      <c r="O882" s="102"/>
      <c r="P882" s="105">
        <f>SUM(O884:O901)</f>
        <v>681.25287054720013</v>
      </c>
      <c r="Q882" s="39"/>
      <c r="R882" s="106"/>
      <c r="U882" s="108"/>
    </row>
    <row r="883" spans="1:21" s="3" customFormat="1">
      <c r="A883" s="33" t="str">
        <f>IF(H883&lt;&gt;"",1+MAX($A$5:A882),"")</f>
        <v/>
      </c>
      <c r="B883" s="62"/>
      <c r="C883" s="68"/>
      <c r="D883" s="63"/>
      <c r="E883" s="15"/>
      <c r="F883" s="16"/>
      <c r="G883" s="21"/>
      <c r="H883" s="17"/>
      <c r="I883" s="17"/>
      <c r="J883" s="17"/>
      <c r="K883" s="17"/>
      <c r="L883" s="17"/>
      <c r="M883" s="17"/>
      <c r="N883" s="82" t="s">
        <v>20</v>
      </c>
      <c r="O883" s="29">
        <v>52</v>
      </c>
      <c r="P883" s="54"/>
      <c r="Q883" s="39"/>
      <c r="R883" s="2"/>
      <c r="U883" s="14"/>
    </row>
    <row r="884" spans="1:21" s="40" customFormat="1" ht="16.8" customHeight="1">
      <c r="A884" s="33" t="str">
        <f>IF(H884&lt;&gt;"",1+MAX($A$5:A883),"")</f>
        <v/>
      </c>
      <c r="B884" s="79"/>
      <c r="C884" s="69"/>
      <c r="D884" s="114" t="s">
        <v>584</v>
      </c>
      <c r="E884" s="35"/>
      <c r="F884" s="36"/>
      <c r="G884" s="37"/>
      <c r="H884" s="38"/>
      <c r="I884" s="19"/>
      <c r="J884" s="19"/>
      <c r="K884" s="31"/>
      <c r="L884" s="19"/>
      <c r="M884" s="32"/>
      <c r="N884" s="11"/>
      <c r="O884" s="11"/>
      <c r="P884" s="54"/>
      <c r="Q884" s="39"/>
      <c r="R884" s="39"/>
      <c r="U884" s="41"/>
    </row>
    <row r="885" spans="1:21" s="40" customFormat="1" ht="16.8" customHeight="1">
      <c r="A885" s="33">
        <f>IF(H885&lt;&gt;"",1+MAX($A$5:A884),"")</f>
        <v>584</v>
      </c>
      <c r="B885" s="79"/>
      <c r="C885" s="69"/>
      <c r="D885" s="27" t="s">
        <v>78</v>
      </c>
      <c r="E885" s="35">
        <v>75</v>
      </c>
      <c r="F885" s="36">
        <v>0.1</v>
      </c>
      <c r="G885" s="37">
        <f t="shared" ref="G885:G892" si="626">(1+F885)*E885</f>
        <v>82.5</v>
      </c>
      <c r="H885" s="38" t="s">
        <v>4</v>
      </c>
      <c r="I885" s="19">
        <v>1.8450799999999998</v>
      </c>
      <c r="J885" s="19">
        <f>G885*I885</f>
        <v>152.2191</v>
      </c>
      <c r="K885" s="31">
        <v>6.2E-2</v>
      </c>
      <c r="L885" s="19">
        <f>$O$883</f>
        <v>52</v>
      </c>
      <c r="M885" s="32">
        <f t="shared" ref="M885" si="627">K885*G885</f>
        <v>5.1150000000000002</v>
      </c>
      <c r="N885" s="11">
        <f t="shared" ref="N885" si="628">M885*L885</f>
        <v>265.98</v>
      </c>
      <c r="O885" s="11">
        <f t="shared" ref="O885" si="629">N885+J885</f>
        <v>418.19910000000004</v>
      </c>
      <c r="P885" s="54"/>
      <c r="Q885" s="39"/>
      <c r="R885" s="39"/>
      <c r="U885" s="41"/>
    </row>
    <row r="886" spans="1:21" s="40" customFormat="1" ht="16.8" customHeight="1">
      <c r="A886" s="33">
        <f>IF(H886&lt;&gt;"",1+MAX($A$5:A885),"")</f>
        <v>585</v>
      </c>
      <c r="B886" s="79"/>
      <c r="C886" s="69"/>
      <c r="D886" s="95" t="s">
        <v>579</v>
      </c>
      <c r="E886" s="35">
        <f>ROUNDUP(E885*8%,0)</f>
        <v>6</v>
      </c>
      <c r="F886" s="36">
        <v>0</v>
      </c>
      <c r="G886" s="37">
        <f t="shared" si="626"/>
        <v>6</v>
      </c>
      <c r="H886" s="38" t="s">
        <v>3</v>
      </c>
      <c r="I886" s="19"/>
      <c r="J886" s="19"/>
      <c r="K886" s="31"/>
      <c r="L886" s="19"/>
      <c r="M886" s="32"/>
      <c r="N886" s="11"/>
      <c r="O886" s="11"/>
      <c r="P886" s="54"/>
      <c r="Q886" s="39"/>
      <c r="R886" s="39"/>
      <c r="U886" s="41"/>
    </row>
    <row r="887" spans="1:21" s="40" customFormat="1" ht="16.8" customHeight="1">
      <c r="A887" s="33">
        <f>IF(H887&lt;&gt;"",1+MAX($A$5:A886),"")</f>
        <v>586</v>
      </c>
      <c r="B887" s="79"/>
      <c r="C887" s="69"/>
      <c r="D887" s="95" t="s">
        <v>578</v>
      </c>
      <c r="E887" s="35">
        <f>ROUNDUP(E885/10,0)</f>
        <v>8</v>
      </c>
      <c r="F887" s="36">
        <v>0</v>
      </c>
      <c r="G887" s="37">
        <f t="shared" si="626"/>
        <v>8</v>
      </c>
      <c r="H887" s="38" t="s">
        <v>3</v>
      </c>
      <c r="I887" s="19"/>
      <c r="J887" s="19"/>
      <c r="K887" s="31"/>
      <c r="L887" s="19"/>
      <c r="M887" s="32"/>
      <c r="N887" s="11"/>
      <c r="O887" s="11"/>
      <c r="P887" s="54"/>
      <c r="Q887" s="39"/>
      <c r="R887" s="39"/>
      <c r="U887" s="41"/>
    </row>
    <row r="888" spans="1:21" s="40" customFormat="1" ht="16.8" customHeight="1">
      <c r="A888" s="33">
        <f>IF(H888&lt;&gt;"",1+MAX($A$5:A887),"")</f>
        <v>587</v>
      </c>
      <c r="B888" s="79"/>
      <c r="C888" s="69"/>
      <c r="D888" s="95" t="s">
        <v>577</v>
      </c>
      <c r="E888" s="35">
        <f>ROUNDUP(E885/9.2,0)+ROUNDUP(E885*4%,0)</f>
        <v>12</v>
      </c>
      <c r="F888" s="36">
        <v>0</v>
      </c>
      <c r="G888" s="37">
        <f t="shared" si="626"/>
        <v>12</v>
      </c>
      <c r="H888" s="38" t="s">
        <v>3</v>
      </c>
      <c r="I888" s="19"/>
      <c r="J888" s="19"/>
      <c r="K888" s="31"/>
      <c r="L888" s="19"/>
      <c r="M888" s="32"/>
      <c r="N888" s="11"/>
      <c r="O888" s="11"/>
      <c r="P888" s="54"/>
      <c r="Q888" s="39"/>
      <c r="R888" s="39"/>
      <c r="U888" s="41"/>
    </row>
    <row r="889" spans="1:21" s="40" customFormat="1" ht="16.8" customHeight="1">
      <c r="A889" s="33">
        <f>IF(H889&lt;&gt;"",1+MAX($A$5:A888),"")</f>
        <v>588</v>
      </c>
      <c r="B889" s="79"/>
      <c r="C889" s="69"/>
      <c r="D889" s="95" t="s">
        <v>576</v>
      </c>
      <c r="E889" s="35">
        <f>ROUNDUP(E885*1%,0)</f>
        <v>1</v>
      </c>
      <c r="F889" s="36">
        <v>0</v>
      </c>
      <c r="G889" s="37">
        <f t="shared" si="626"/>
        <v>1</v>
      </c>
      <c r="H889" s="38" t="s">
        <v>3</v>
      </c>
      <c r="I889" s="19"/>
      <c r="J889" s="19"/>
      <c r="K889" s="31"/>
      <c r="L889" s="19"/>
      <c r="M889" s="32"/>
      <c r="N889" s="11"/>
      <c r="O889" s="11"/>
      <c r="P889" s="54"/>
      <c r="Q889" s="39"/>
      <c r="R889" s="39"/>
      <c r="U889" s="41"/>
    </row>
    <row r="890" spans="1:21" s="40" customFormat="1" ht="16.8" customHeight="1">
      <c r="A890" s="33">
        <f>IF(H890&lt;&gt;"",1+MAX($A$5:A889),"")</f>
        <v>589</v>
      </c>
      <c r="B890" s="79"/>
      <c r="C890" s="69"/>
      <c r="D890" s="95" t="s">
        <v>575</v>
      </c>
      <c r="E890" s="35">
        <f>ROUNDUP(E885*1%,0)</f>
        <v>1</v>
      </c>
      <c r="F890" s="36">
        <v>0</v>
      </c>
      <c r="G890" s="37">
        <f t="shared" si="626"/>
        <v>1</v>
      </c>
      <c r="H890" s="38" t="s">
        <v>3</v>
      </c>
      <c r="I890" s="19"/>
      <c r="J890" s="19"/>
      <c r="K890" s="31"/>
      <c r="L890" s="19"/>
      <c r="M890" s="32"/>
      <c r="N890" s="11"/>
      <c r="O890" s="11"/>
      <c r="P890" s="54"/>
      <c r="Q890" s="39"/>
      <c r="R890" s="39"/>
      <c r="U890" s="41"/>
    </row>
    <row r="891" spans="1:21" s="40" customFormat="1" ht="16.8" customHeight="1">
      <c r="A891" s="33">
        <f>IF(H891&lt;&gt;"",1+MAX($A$5:A890),"")</f>
        <v>590</v>
      </c>
      <c r="B891" s="79"/>
      <c r="C891" s="69"/>
      <c r="D891" s="95" t="s">
        <v>574</v>
      </c>
      <c r="E891" s="35">
        <f>ROUNDUP(E885/9.2,0)+ROUNDUP(E885*9%,0)</f>
        <v>16</v>
      </c>
      <c r="F891" s="36">
        <v>0</v>
      </c>
      <c r="G891" s="37">
        <f t="shared" si="626"/>
        <v>16</v>
      </c>
      <c r="H891" s="38" t="s">
        <v>3</v>
      </c>
      <c r="I891" s="19"/>
      <c r="J891" s="19"/>
      <c r="K891" s="31"/>
      <c r="L891" s="19"/>
      <c r="M891" s="32"/>
      <c r="N891" s="11"/>
      <c r="O891" s="11"/>
      <c r="P891" s="54"/>
      <c r="Q891" s="39"/>
      <c r="R891" s="39"/>
      <c r="U891" s="41"/>
    </row>
    <row r="892" spans="1:21" s="40" customFormat="1" ht="16.8" customHeight="1">
      <c r="A892" s="33">
        <f>IF(H892&lt;&gt;"",1+MAX($A$5:A891),"")</f>
        <v>591</v>
      </c>
      <c r="B892" s="79"/>
      <c r="C892" s="69"/>
      <c r="D892" s="95" t="s">
        <v>573</v>
      </c>
      <c r="E892" s="35">
        <f>ROUNDUP(E885/9.2,0)+ROUNDUP(E885*9%,0)</f>
        <v>16</v>
      </c>
      <c r="F892" s="36">
        <v>0</v>
      </c>
      <c r="G892" s="37">
        <f t="shared" si="626"/>
        <v>16</v>
      </c>
      <c r="H892" s="38" t="s">
        <v>3</v>
      </c>
      <c r="I892" s="19"/>
      <c r="J892" s="19"/>
      <c r="K892" s="31"/>
      <c r="L892" s="19"/>
      <c r="M892" s="32"/>
      <c r="N892" s="11"/>
      <c r="O892" s="11"/>
      <c r="P892" s="54"/>
      <c r="Q892" s="39"/>
      <c r="R892" s="39"/>
      <c r="U892" s="41"/>
    </row>
    <row r="893" spans="1:21" s="40" customFormat="1" ht="16.8" customHeight="1">
      <c r="A893" s="33"/>
      <c r="B893" s="79"/>
      <c r="C893" s="69"/>
      <c r="D893" s="95"/>
      <c r="E893" s="35"/>
      <c r="F893" s="36"/>
      <c r="G893" s="37"/>
      <c r="H893" s="38"/>
      <c r="I893" s="19"/>
      <c r="J893" s="19"/>
      <c r="K893" s="31"/>
      <c r="L893" s="19"/>
      <c r="M893" s="32"/>
      <c r="N893" s="11"/>
      <c r="O893" s="11"/>
      <c r="P893" s="54"/>
      <c r="Q893" s="39"/>
      <c r="R893" s="39"/>
      <c r="U893" s="41"/>
    </row>
    <row r="894" spans="1:21" s="40" customFormat="1" ht="16.8" customHeight="1">
      <c r="A894" s="33" t="str">
        <f>IF(H894&lt;&gt;"",1+MAX($A$5:A892),"")</f>
        <v/>
      </c>
      <c r="B894" s="79"/>
      <c r="C894" s="69"/>
      <c r="D894" s="114" t="s">
        <v>590</v>
      </c>
      <c r="E894" s="35"/>
      <c r="F894" s="36"/>
      <c r="G894" s="37"/>
      <c r="H894" s="38"/>
      <c r="I894" s="19"/>
      <c r="J894" s="19"/>
      <c r="K894" s="31"/>
      <c r="L894" s="19"/>
      <c r="M894" s="32"/>
      <c r="N894" s="11"/>
      <c r="O894" s="11"/>
      <c r="P894" s="54"/>
      <c r="Q894" s="39"/>
      <c r="R894" s="39"/>
      <c r="U894" s="41"/>
    </row>
    <row r="895" spans="1:21" s="40" customFormat="1" ht="16.8" customHeight="1">
      <c r="A895" s="33">
        <f>IF(H895&lt;&gt;"",1+MAX($A$5:A894),"")</f>
        <v>592</v>
      </c>
      <c r="B895" s="79"/>
      <c r="C895" s="69"/>
      <c r="D895" s="27" t="s">
        <v>589</v>
      </c>
      <c r="E895" s="35">
        <v>34.19</v>
      </c>
      <c r="F895" s="36">
        <v>0.1</v>
      </c>
      <c r="G895" s="37">
        <f>(1+F895)*E895</f>
        <v>37.609000000000002</v>
      </c>
      <c r="H895" s="38" t="s">
        <v>4</v>
      </c>
      <c r="I895" s="19">
        <v>0.43670079999999994</v>
      </c>
      <c r="J895" s="19">
        <f t="shared" ref="J895:J896" si="630">G895*I895</f>
        <v>16.423880387199997</v>
      </c>
      <c r="K895" s="31">
        <f t="shared" ref="K895:K896" si="631">2*(0.727/100)</f>
        <v>1.4539999999999999E-2</v>
      </c>
      <c r="L895" s="19">
        <f t="shared" ref="L895:L896" si="632">$O$883</f>
        <v>52</v>
      </c>
      <c r="M895" s="32">
        <f t="shared" ref="M895:M896" si="633">K895*G895</f>
        <v>0.54683486000000003</v>
      </c>
      <c r="N895" s="11">
        <f t="shared" ref="N895:N896" si="634">M895*L895</f>
        <v>28.435412720000002</v>
      </c>
      <c r="O895" s="11">
        <f t="shared" ref="O895:O896" si="635">N895+J895</f>
        <v>44.859293107200003</v>
      </c>
      <c r="P895" s="54"/>
      <c r="Q895" s="39"/>
      <c r="R895" s="39"/>
      <c r="U895" s="41"/>
    </row>
    <row r="896" spans="1:21" s="40" customFormat="1" ht="16.8" customHeight="1">
      <c r="A896" s="33">
        <f>IF(H896&lt;&gt;"",1+MAX($A$5:A895),"")</f>
        <v>593</v>
      </c>
      <c r="B896" s="79"/>
      <c r="C896" s="69"/>
      <c r="D896" s="27" t="s">
        <v>588</v>
      </c>
      <c r="E896" s="35">
        <v>38</v>
      </c>
      <c r="F896" s="36">
        <v>0.1</v>
      </c>
      <c r="G896" s="37">
        <f>(1+F896)*E896</f>
        <v>41.800000000000004</v>
      </c>
      <c r="H896" s="38" t="s">
        <v>4</v>
      </c>
      <c r="I896" s="19">
        <v>0.43670079999999994</v>
      </c>
      <c r="J896" s="19">
        <f t="shared" si="630"/>
        <v>18.254093439999998</v>
      </c>
      <c r="K896" s="31">
        <f t="shared" si="631"/>
        <v>1.4539999999999999E-2</v>
      </c>
      <c r="L896" s="19">
        <f t="shared" si="632"/>
        <v>52</v>
      </c>
      <c r="M896" s="32">
        <f t="shared" si="633"/>
        <v>0.60777199999999998</v>
      </c>
      <c r="N896" s="11">
        <f t="shared" si="634"/>
        <v>31.604143999999998</v>
      </c>
      <c r="O896" s="11">
        <f t="shared" si="635"/>
        <v>49.858237439999996</v>
      </c>
      <c r="P896" s="54"/>
      <c r="Q896" s="39"/>
      <c r="R896" s="39"/>
      <c r="U896" s="41"/>
    </row>
    <row r="897" spans="1:21" s="40" customFormat="1" ht="16.8" customHeight="1">
      <c r="A897" s="33" t="str">
        <f>IF(H897&lt;&gt;"",1+MAX($A$5:A896),"")</f>
        <v/>
      </c>
      <c r="B897" s="79"/>
      <c r="C897" s="69"/>
      <c r="D897" s="27" t="s">
        <v>96</v>
      </c>
      <c r="E897" s="35"/>
      <c r="F897" s="36"/>
      <c r="G897" s="37"/>
      <c r="H897" s="38"/>
      <c r="I897" s="19"/>
      <c r="J897" s="19"/>
      <c r="K897" s="31"/>
      <c r="L897" s="19"/>
      <c r="M897" s="32"/>
      <c r="N897" s="11"/>
      <c r="O897" s="11"/>
      <c r="P897" s="54"/>
      <c r="Q897" s="39"/>
      <c r="R897" s="39"/>
      <c r="U897" s="41"/>
    </row>
    <row r="898" spans="1:21" s="40" customFormat="1" ht="16.8" customHeight="1">
      <c r="A898" s="33" t="str">
        <f>IF(H898&lt;&gt;"",1+MAX($A$5:A897),"")</f>
        <v/>
      </c>
      <c r="B898" s="79"/>
      <c r="C898" s="69"/>
      <c r="D898" s="114" t="s">
        <v>587</v>
      </c>
      <c r="E898" s="35"/>
      <c r="F898" s="36"/>
      <c r="G898" s="37"/>
      <c r="H898" s="38"/>
      <c r="I898" s="19"/>
      <c r="J898" s="19"/>
      <c r="K898" s="31"/>
      <c r="L898" s="19"/>
      <c r="M898" s="32"/>
      <c r="N898" s="11"/>
      <c r="O898" s="11"/>
      <c r="P898" s="54"/>
      <c r="Q898" s="39"/>
      <c r="R898" s="39"/>
      <c r="U898" s="41"/>
    </row>
    <row r="899" spans="1:21" s="40" customFormat="1" ht="16.8" customHeight="1">
      <c r="A899" s="33">
        <f>IF(H899&lt;&gt;"",1+MAX($A$5:A898),"")</f>
        <v>594</v>
      </c>
      <c r="B899" s="79"/>
      <c r="C899" s="69"/>
      <c r="D899" s="27" t="s">
        <v>80</v>
      </c>
      <c r="E899" s="35">
        <v>3</v>
      </c>
      <c r="F899" s="36">
        <v>0</v>
      </c>
      <c r="G899" s="37">
        <f>(1+F899)*E899</f>
        <v>3</v>
      </c>
      <c r="H899" s="38" t="s">
        <v>3</v>
      </c>
      <c r="I899" s="19">
        <v>7.2560399999999996</v>
      </c>
      <c r="J899" s="19">
        <f>G899*I899</f>
        <v>21.76812</v>
      </c>
      <c r="K899" s="31">
        <v>0.4</v>
      </c>
      <c r="L899" s="19">
        <f t="shared" ref="L899:L900" si="636">$O$883</f>
        <v>52</v>
      </c>
      <c r="M899" s="32">
        <f t="shared" ref="M899:M900" si="637">K899*G899</f>
        <v>1.2000000000000002</v>
      </c>
      <c r="N899" s="11">
        <f t="shared" ref="N899:N900" si="638">M899*L899</f>
        <v>62.400000000000006</v>
      </c>
      <c r="O899" s="11">
        <f t="shared" ref="O899:O900" si="639">N899+J899</f>
        <v>84.168120000000002</v>
      </c>
      <c r="P899" s="54"/>
      <c r="Q899" s="39"/>
      <c r="R899" s="39"/>
      <c r="U899" s="41"/>
    </row>
    <row r="900" spans="1:21" s="40" customFormat="1" ht="16.8" customHeight="1">
      <c r="A900" s="33">
        <f>IF(H900&lt;&gt;"",1+MAX($A$5:A899),"")</f>
        <v>595</v>
      </c>
      <c r="B900" s="79"/>
      <c r="C900" s="69"/>
      <c r="D900" s="27" t="s">
        <v>586</v>
      </c>
      <c r="E900" s="35">
        <v>3</v>
      </c>
      <c r="F900" s="36">
        <v>0</v>
      </c>
      <c r="G900" s="37">
        <f>(1+F900)*E900</f>
        <v>3</v>
      </c>
      <c r="H900" s="38" t="s">
        <v>3</v>
      </c>
      <c r="I900" s="19">
        <v>7.2560399999999996</v>
      </c>
      <c r="J900" s="19">
        <f>G900*I900</f>
        <v>21.76812</v>
      </c>
      <c r="K900" s="31">
        <v>0.4</v>
      </c>
      <c r="L900" s="19">
        <f t="shared" si="636"/>
        <v>52</v>
      </c>
      <c r="M900" s="32">
        <f t="shared" si="637"/>
        <v>1.2000000000000002</v>
      </c>
      <c r="N900" s="11">
        <f t="shared" si="638"/>
        <v>62.400000000000006</v>
      </c>
      <c r="O900" s="11">
        <f t="shared" si="639"/>
        <v>84.168120000000002</v>
      </c>
      <c r="P900" s="54"/>
      <c r="Q900" s="39"/>
      <c r="R900" s="39"/>
      <c r="U900" s="41"/>
    </row>
    <row r="901" spans="1:21" s="40" customFormat="1" ht="16.8" customHeight="1">
      <c r="A901" s="33" t="str">
        <f>IF(H901&lt;&gt;"",1+MAX($A$5:A900),"")</f>
        <v/>
      </c>
      <c r="B901" s="79"/>
      <c r="C901" s="69"/>
      <c r="D901" s="27"/>
      <c r="E901" s="35"/>
      <c r="F901" s="36"/>
      <c r="G901" s="37"/>
      <c r="H901" s="38"/>
      <c r="I901" s="19"/>
      <c r="J901" s="19"/>
      <c r="K901" s="31"/>
      <c r="L901" s="19"/>
      <c r="M901" s="32"/>
      <c r="N901" s="11"/>
      <c r="O901" s="11"/>
      <c r="P901" s="54"/>
      <c r="Q901" s="39"/>
      <c r="R901" s="39"/>
      <c r="U901" s="41"/>
    </row>
    <row r="902" spans="1:21" s="107" customFormat="1" ht="18">
      <c r="A902" s="98" t="str">
        <f>IF(H902&lt;&gt;"",1+MAX($A$5:A902),"")</f>
        <v/>
      </c>
      <c r="B902" s="99"/>
      <c r="C902" s="99"/>
      <c r="D902" s="100" t="s">
        <v>591</v>
      </c>
      <c r="E902" s="101"/>
      <c r="F902" s="102"/>
      <c r="G902" s="103"/>
      <c r="H902" s="102"/>
      <c r="I902" s="102"/>
      <c r="J902" s="102"/>
      <c r="K902" s="102"/>
      <c r="L902" s="102"/>
      <c r="M902" s="102"/>
      <c r="N902" s="104"/>
      <c r="O902" s="102"/>
      <c r="P902" s="105">
        <f>SUM(O904:O907)</f>
        <v>1964.7720000000002</v>
      </c>
      <c r="Q902" s="39"/>
      <c r="R902" s="106"/>
      <c r="U902" s="108"/>
    </row>
    <row r="903" spans="1:21" s="3" customFormat="1">
      <c r="A903" s="33" t="str">
        <f>IF(H903&lt;&gt;"",1+MAX($A$5:A902),"")</f>
        <v/>
      </c>
      <c r="B903" s="62"/>
      <c r="C903" s="68"/>
      <c r="D903" s="63"/>
      <c r="E903" s="15"/>
      <c r="F903" s="16"/>
      <c r="G903" s="21"/>
      <c r="H903" s="17"/>
      <c r="I903" s="17"/>
      <c r="J903" s="17"/>
      <c r="K903" s="17"/>
      <c r="L903" s="17"/>
      <c r="M903" s="17"/>
      <c r="N903" s="82" t="s">
        <v>20</v>
      </c>
      <c r="O903" s="29">
        <v>52</v>
      </c>
      <c r="P903" s="54"/>
      <c r="Q903" s="39"/>
      <c r="R903" s="2"/>
      <c r="U903" s="14"/>
    </row>
    <row r="904" spans="1:21" s="40" customFormat="1" ht="16.8" customHeight="1">
      <c r="A904" s="33" t="str">
        <f>IF(H904&lt;&gt;"",1+MAX($A$5:A903),"")</f>
        <v/>
      </c>
      <c r="B904" s="79"/>
      <c r="C904" s="69"/>
      <c r="D904" s="114" t="s">
        <v>593</v>
      </c>
      <c r="E904" s="35"/>
      <c r="F904" s="36"/>
      <c r="G904" s="37"/>
      <c r="H904" s="38"/>
      <c r="I904" s="19"/>
      <c r="J904" s="19"/>
      <c r="K904" s="31"/>
      <c r="L904" s="19"/>
      <c r="M904" s="32"/>
      <c r="N904" s="11"/>
      <c r="O904" s="11"/>
      <c r="P904" s="54"/>
      <c r="Q904" s="39"/>
      <c r="R904" s="39"/>
      <c r="U904" s="41"/>
    </row>
    <row r="905" spans="1:21" s="40" customFormat="1" ht="16.8" customHeight="1">
      <c r="A905" s="33">
        <f>IF(H905&lt;&gt;"",1+MAX($A$5:A904),"")</f>
        <v>596</v>
      </c>
      <c r="B905" s="79"/>
      <c r="C905" s="69"/>
      <c r="D905" s="27" t="s">
        <v>62</v>
      </c>
      <c r="E905" s="35">
        <v>4</v>
      </c>
      <c r="F905" s="36">
        <v>0</v>
      </c>
      <c r="G905" s="37">
        <f>(1+F905)*E905</f>
        <v>4</v>
      </c>
      <c r="H905" s="38" t="s">
        <v>3</v>
      </c>
      <c r="I905" s="19">
        <v>93.688000000000002</v>
      </c>
      <c r="J905" s="19">
        <f>G905*I905</f>
        <v>374.75200000000001</v>
      </c>
      <c r="K905" s="31">
        <v>0.4</v>
      </c>
      <c r="L905" s="19">
        <f>$O$903</f>
        <v>52</v>
      </c>
      <c r="M905" s="32">
        <f t="shared" ref="M905" si="640">K905*G905</f>
        <v>1.6</v>
      </c>
      <c r="N905" s="11">
        <f t="shared" ref="N905" si="641">M905*L905</f>
        <v>83.2</v>
      </c>
      <c r="O905" s="11">
        <f t="shared" ref="O905" si="642">N905+J905</f>
        <v>457.952</v>
      </c>
      <c r="P905" s="54"/>
      <c r="Q905" s="39"/>
      <c r="R905" s="39"/>
      <c r="U905" s="41"/>
    </row>
    <row r="906" spans="1:21" s="40" customFormat="1" ht="16.8" customHeight="1">
      <c r="A906" s="33">
        <f>IF(H906&lt;&gt;"",1+MAX($A$5:A905),"")</f>
        <v>597</v>
      </c>
      <c r="B906" s="79"/>
      <c r="C906" s="69"/>
      <c r="D906" s="27" t="s">
        <v>592</v>
      </c>
      <c r="E906" s="35">
        <v>7</v>
      </c>
      <c r="F906" s="36">
        <v>0</v>
      </c>
      <c r="G906" s="37">
        <f>(1+F906)*E906</f>
        <v>7</v>
      </c>
      <c r="H906" s="38" t="s">
        <v>3</v>
      </c>
      <c r="I906" s="19">
        <v>148.18</v>
      </c>
      <c r="J906" s="19">
        <f>G906*I906</f>
        <v>1037.26</v>
      </c>
      <c r="K906" s="31">
        <v>1.29</v>
      </c>
      <c r="L906" s="19">
        <f>$O$903</f>
        <v>52</v>
      </c>
      <c r="M906" s="32">
        <f t="shared" ref="M906" si="643">K906*G906</f>
        <v>9.0300000000000011</v>
      </c>
      <c r="N906" s="11">
        <f t="shared" ref="N906" si="644">M906*L906</f>
        <v>469.56000000000006</v>
      </c>
      <c r="O906" s="11">
        <f t="shared" ref="O906" si="645">N906+J906</f>
        <v>1506.8200000000002</v>
      </c>
      <c r="P906" s="54"/>
      <c r="Q906" s="39"/>
      <c r="R906" s="39"/>
      <c r="U906" s="41"/>
    </row>
    <row r="907" spans="1:21" s="40" customFormat="1" ht="16.8" customHeight="1">
      <c r="A907" s="33" t="str">
        <f>IF(H907&lt;&gt;"",1+MAX($A$5:A906),"")</f>
        <v/>
      </c>
      <c r="B907" s="79"/>
      <c r="C907" s="69"/>
      <c r="D907" s="27"/>
      <c r="E907" s="35"/>
      <c r="F907" s="36"/>
      <c r="G907" s="37"/>
      <c r="H907" s="38"/>
      <c r="I907" s="19"/>
      <c r="J907" s="19"/>
      <c r="K907" s="31"/>
      <c r="L907" s="19"/>
      <c r="M907" s="32"/>
      <c r="N907" s="11"/>
      <c r="O907" s="11"/>
      <c r="P907" s="54"/>
      <c r="Q907" s="39"/>
      <c r="R907" s="39"/>
      <c r="U907" s="41"/>
    </row>
    <row r="908" spans="1:21" s="107" customFormat="1" ht="18">
      <c r="A908" s="98" t="str">
        <f>IF(H908&lt;&gt;"",1+MAX($A$5:A908),"")</f>
        <v/>
      </c>
      <c r="B908" s="99"/>
      <c r="C908" s="99"/>
      <c r="D908" s="100" t="s">
        <v>594</v>
      </c>
      <c r="E908" s="101"/>
      <c r="F908" s="102"/>
      <c r="G908" s="103"/>
      <c r="H908" s="102"/>
      <c r="I908" s="102"/>
      <c r="J908" s="102"/>
      <c r="K908" s="102"/>
      <c r="L908" s="102"/>
      <c r="M908" s="102"/>
      <c r="N908" s="104"/>
      <c r="O908" s="102"/>
      <c r="P908" s="105">
        <f>SUM(O910:O930)</f>
        <v>64029.488486799994</v>
      </c>
      <c r="Q908" s="39"/>
      <c r="R908" s="106"/>
      <c r="U908" s="108"/>
    </row>
    <row r="909" spans="1:21" s="3" customFormat="1">
      <c r="A909" s="33" t="str">
        <f>IF(H909&lt;&gt;"",1+MAX($A$5:A908),"")</f>
        <v/>
      </c>
      <c r="B909" s="62"/>
      <c r="C909" s="68"/>
      <c r="D909" s="63"/>
      <c r="E909" s="15"/>
      <c r="F909" s="16"/>
      <c r="G909" s="21"/>
      <c r="H909" s="17"/>
      <c r="I909" s="17"/>
      <c r="J909" s="17"/>
      <c r="K909" s="17"/>
      <c r="L909" s="17"/>
      <c r="M909" s="17"/>
      <c r="N909" s="82" t="s">
        <v>20</v>
      </c>
      <c r="O909" s="29">
        <v>44</v>
      </c>
      <c r="P909" s="54"/>
      <c r="Q909" s="39"/>
      <c r="R909" s="2"/>
      <c r="U909" s="14"/>
    </row>
    <row r="910" spans="1:21" s="40" customFormat="1" ht="16.8" customHeight="1">
      <c r="A910" s="33" t="str">
        <f>IF(H910&lt;&gt;"",1+MAX($A$5:A909),"")</f>
        <v/>
      </c>
      <c r="B910" s="79"/>
      <c r="C910" s="69"/>
      <c r="D910" s="114" t="s">
        <v>613</v>
      </c>
      <c r="E910" s="35"/>
      <c r="F910" s="36"/>
      <c r="G910" s="37"/>
      <c r="H910" s="38"/>
      <c r="I910" s="19"/>
      <c r="J910" s="19"/>
      <c r="K910" s="31"/>
      <c r="L910" s="19"/>
      <c r="M910" s="32"/>
      <c r="N910" s="11"/>
      <c r="O910" s="11"/>
      <c r="P910" s="54"/>
      <c r="Q910" s="39"/>
      <c r="R910" s="39"/>
      <c r="U910" s="41"/>
    </row>
    <row r="911" spans="1:21" s="40" customFormat="1" ht="16.8" customHeight="1">
      <c r="A911" s="33">
        <f>IF(H911&lt;&gt;"",1+MAX($A$5:A910),"")</f>
        <v>598</v>
      </c>
      <c r="B911" s="79"/>
      <c r="C911" s="69"/>
      <c r="D911" s="27" t="s">
        <v>612</v>
      </c>
      <c r="E911" s="35">
        <v>1</v>
      </c>
      <c r="F911" s="36">
        <v>0</v>
      </c>
      <c r="G911" s="37">
        <f t="shared" ref="G911:G921" si="646">(1+F911)*E911</f>
        <v>1</v>
      </c>
      <c r="H911" s="38" t="s">
        <v>85</v>
      </c>
      <c r="I911" s="97">
        <v>0</v>
      </c>
      <c r="J911" s="97">
        <f t="shared" ref="J911" si="647">I911*G911</f>
        <v>0</v>
      </c>
      <c r="K911" s="31">
        <v>0.78</v>
      </c>
      <c r="L911" s="19">
        <f>$O$909</f>
        <v>44</v>
      </c>
      <c r="M911" s="32">
        <f t="shared" ref="M911" si="648">K911*G911</f>
        <v>0.78</v>
      </c>
      <c r="N911" s="11">
        <f t="shared" ref="N911" si="649">M911*L911</f>
        <v>34.32</v>
      </c>
      <c r="O911" s="11">
        <f t="shared" ref="O911" si="650">N911+J911</f>
        <v>34.32</v>
      </c>
      <c r="P911" s="54"/>
      <c r="Q911" s="39"/>
      <c r="R911" s="39"/>
      <c r="U911" s="41"/>
    </row>
    <row r="912" spans="1:21" s="40" customFormat="1" ht="16.8" customHeight="1">
      <c r="A912" s="33">
        <f>IF(H912&lt;&gt;"",1+MAX($A$5:A911),"")</f>
        <v>599</v>
      </c>
      <c r="B912" s="79"/>
      <c r="C912" s="69"/>
      <c r="D912" s="27" t="s">
        <v>611</v>
      </c>
      <c r="E912" s="35">
        <v>5538</v>
      </c>
      <c r="F912" s="36">
        <v>0.1</v>
      </c>
      <c r="G912" s="37">
        <f t="shared" si="646"/>
        <v>6091.8</v>
      </c>
      <c r="H912" s="38" t="s">
        <v>32</v>
      </c>
      <c r="I912" s="19">
        <v>0.97511999999999999</v>
      </c>
      <c r="J912" s="19">
        <f t="shared" ref="J912:J921" si="651">I912*G912</f>
        <v>5940.2360159999998</v>
      </c>
      <c r="K912" s="31">
        <v>1.2E-2</v>
      </c>
      <c r="L912" s="19">
        <f t="shared" ref="L912:L921" si="652">$O$909</f>
        <v>44</v>
      </c>
      <c r="M912" s="32">
        <f t="shared" ref="M912:M921" si="653">K912*G912</f>
        <v>73.101600000000005</v>
      </c>
      <c r="N912" s="11">
        <f t="shared" ref="N912:N921" si="654">M912*L912</f>
        <v>3216.4704000000002</v>
      </c>
      <c r="O912" s="11">
        <f t="shared" ref="O912:O921" si="655">N912+J912</f>
        <v>9156.7064160000009</v>
      </c>
      <c r="P912" s="54"/>
      <c r="Q912" s="39"/>
      <c r="R912" s="39"/>
      <c r="U912" s="41"/>
    </row>
    <row r="913" spans="1:21" s="40" customFormat="1" ht="16.8" customHeight="1">
      <c r="A913" s="33">
        <f>IF(H913&lt;&gt;"",1+MAX($A$5:A912),"")</f>
        <v>600</v>
      </c>
      <c r="B913" s="79"/>
      <c r="C913" s="69"/>
      <c r="D913" s="27" t="s">
        <v>610</v>
      </c>
      <c r="E913" s="35">
        <v>2684</v>
      </c>
      <c r="F913" s="36">
        <v>0.1</v>
      </c>
      <c r="G913" s="37">
        <f t="shared" si="646"/>
        <v>2952.4</v>
      </c>
      <c r="H913" s="38" t="s">
        <v>32</v>
      </c>
      <c r="I913" s="19">
        <v>6.4625599999999999</v>
      </c>
      <c r="J913" s="19">
        <f t="shared" si="651"/>
        <v>19080.062144</v>
      </c>
      <c r="K913" s="31">
        <v>0.03</v>
      </c>
      <c r="L913" s="19">
        <f t="shared" si="652"/>
        <v>44</v>
      </c>
      <c r="M913" s="32">
        <f t="shared" si="653"/>
        <v>88.572000000000003</v>
      </c>
      <c r="N913" s="11">
        <f t="shared" si="654"/>
        <v>3897.1680000000001</v>
      </c>
      <c r="O913" s="11">
        <f t="shared" si="655"/>
        <v>22977.230144000001</v>
      </c>
      <c r="P913" s="54"/>
      <c r="Q913" s="39"/>
      <c r="R913" s="39"/>
      <c r="U913" s="41"/>
    </row>
    <row r="914" spans="1:21" s="40" customFormat="1" ht="16.8" customHeight="1">
      <c r="A914" s="33">
        <f>IF(H914&lt;&gt;"",1+MAX($A$5:A913),"")</f>
        <v>601</v>
      </c>
      <c r="B914" s="79"/>
      <c r="C914" s="69"/>
      <c r="D914" s="27" t="s">
        <v>609</v>
      </c>
      <c r="E914" s="35">
        <v>1787</v>
      </c>
      <c r="F914" s="36">
        <v>0.1</v>
      </c>
      <c r="G914" s="37">
        <f t="shared" si="646"/>
        <v>1965.7</v>
      </c>
      <c r="H914" s="38" t="s">
        <v>32</v>
      </c>
      <c r="I914" s="19">
        <v>3.0592000000000001</v>
      </c>
      <c r="J914" s="19">
        <f t="shared" si="651"/>
        <v>6013.4694400000008</v>
      </c>
      <c r="K914" s="31">
        <v>0.02</v>
      </c>
      <c r="L914" s="19">
        <f t="shared" si="652"/>
        <v>44</v>
      </c>
      <c r="M914" s="32">
        <f t="shared" si="653"/>
        <v>39.314</v>
      </c>
      <c r="N914" s="11">
        <f t="shared" si="654"/>
        <v>1729.816</v>
      </c>
      <c r="O914" s="11">
        <f t="shared" si="655"/>
        <v>7743.2854400000006</v>
      </c>
      <c r="P914" s="54"/>
      <c r="Q914" s="39"/>
      <c r="R914" s="39"/>
      <c r="U914" s="41"/>
    </row>
    <row r="915" spans="1:21" s="40" customFormat="1" ht="16.8" customHeight="1">
      <c r="A915" s="33">
        <f>IF(H915&lt;&gt;"",1+MAX($A$5:A914),"")</f>
        <v>602</v>
      </c>
      <c r="B915" s="79"/>
      <c r="C915" s="69"/>
      <c r="D915" s="27" t="s">
        <v>608</v>
      </c>
      <c r="E915" s="35">
        <v>311</v>
      </c>
      <c r="F915" s="36">
        <v>0.1</v>
      </c>
      <c r="G915" s="37">
        <f t="shared" si="646"/>
        <v>342.1</v>
      </c>
      <c r="H915" s="38" t="s">
        <v>32</v>
      </c>
      <c r="I915" s="19">
        <v>4.1107999999999993</v>
      </c>
      <c r="J915" s="19">
        <f t="shared" si="651"/>
        <v>1406.30468</v>
      </c>
      <c r="K915" s="31">
        <v>7.8E-2</v>
      </c>
      <c r="L915" s="19">
        <f t="shared" si="652"/>
        <v>44</v>
      </c>
      <c r="M915" s="32">
        <f t="shared" si="653"/>
        <v>26.683800000000002</v>
      </c>
      <c r="N915" s="11">
        <f t="shared" si="654"/>
        <v>1174.0872000000002</v>
      </c>
      <c r="O915" s="11">
        <f t="shared" si="655"/>
        <v>2580.3918800000001</v>
      </c>
      <c r="P915" s="54"/>
      <c r="Q915" s="39"/>
      <c r="R915" s="39"/>
      <c r="U915" s="41"/>
    </row>
    <row r="916" spans="1:21" s="40" customFormat="1" ht="16.8" customHeight="1">
      <c r="A916" s="33">
        <f>IF(H916&lt;&gt;"",1+MAX($A$5:A915),"")</f>
        <v>603</v>
      </c>
      <c r="B916" s="79"/>
      <c r="C916" s="69"/>
      <c r="D916" s="27" t="s">
        <v>607</v>
      </c>
      <c r="E916" s="35">
        <v>603</v>
      </c>
      <c r="F916" s="36">
        <v>0.1</v>
      </c>
      <c r="G916" s="37">
        <f t="shared" si="646"/>
        <v>663.30000000000007</v>
      </c>
      <c r="H916" s="38" t="s">
        <v>32</v>
      </c>
      <c r="I916" s="19">
        <v>4.1107999999999993</v>
      </c>
      <c r="J916" s="19">
        <f t="shared" si="651"/>
        <v>2726.69364</v>
      </c>
      <c r="K916" s="31">
        <v>7.8E-2</v>
      </c>
      <c r="L916" s="19">
        <f t="shared" si="652"/>
        <v>44</v>
      </c>
      <c r="M916" s="32">
        <f t="shared" si="653"/>
        <v>51.737400000000008</v>
      </c>
      <c r="N916" s="11">
        <f t="shared" si="654"/>
        <v>2276.4456000000005</v>
      </c>
      <c r="O916" s="11">
        <f t="shared" si="655"/>
        <v>5003.1392400000004</v>
      </c>
      <c r="P916" s="54"/>
      <c r="Q916" s="39"/>
      <c r="R916" s="39"/>
      <c r="U916" s="41"/>
    </row>
    <row r="917" spans="1:21" s="40" customFormat="1" ht="16.8" customHeight="1">
      <c r="A917" s="33">
        <f>IF(H917&lt;&gt;"",1+MAX($A$5:A916),"")</f>
        <v>604</v>
      </c>
      <c r="B917" s="79"/>
      <c r="C917" s="69"/>
      <c r="D917" s="27" t="s">
        <v>606</v>
      </c>
      <c r="E917" s="35">
        <v>21.29</v>
      </c>
      <c r="F917" s="36">
        <v>0.1</v>
      </c>
      <c r="G917" s="37">
        <f t="shared" si="646"/>
        <v>23.419</v>
      </c>
      <c r="H917" s="38" t="s">
        <v>4</v>
      </c>
      <c r="I917" s="19">
        <v>20.267199999999999</v>
      </c>
      <c r="J917" s="19">
        <f t="shared" si="651"/>
        <v>474.63755679999997</v>
      </c>
      <c r="K917" s="31">
        <v>0.14399999999999999</v>
      </c>
      <c r="L917" s="19">
        <f t="shared" si="652"/>
        <v>44</v>
      </c>
      <c r="M917" s="32">
        <f t="shared" si="653"/>
        <v>3.3723359999999998</v>
      </c>
      <c r="N917" s="11">
        <f t="shared" si="654"/>
        <v>148.38278399999999</v>
      </c>
      <c r="O917" s="11">
        <f t="shared" si="655"/>
        <v>623.02034079999999</v>
      </c>
      <c r="P917" s="54"/>
      <c r="Q917" s="39"/>
      <c r="R917" s="39"/>
      <c r="U917" s="41"/>
    </row>
    <row r="918" spans="1:21" s="40" customFormat="1" ht="16.8" customHeight="1">
      <c r="A918" s="33">
        <f>IF(H918&lt;&gt;"",1+MAX($A$5:A917),"")</f>
        <v>605</v>
      </c>
      <c r="B918" s="79"/>
      <c r="C918" s="69"/>
      <c r="D918" s="27" t="s">
        <v>605</v>
      </c>
      <c r="E918" s="35">
        <v>1</v>
      </c>
      <c r="F918" s="36">
        <v>0</v>
      </c>
      <c r="G918" s="37">
        <f t="shared" si="646"/>
        <v>1</v>
      </c>
      <c r="H918" s="38" t="s">
        <v>3</v>
      </c>
      <c r="I918" s="19">
        <v>4209.268</v>
      </c>
      <c r="J918" s="19">
        <f t="shared" si="651"/>
        <v>4209.268</v>
      </c>
      <c r="K918" s="31">
        <v>2</v>
      </c>
      <c r="L918" s="19">
        <f t="shared" si="652"/>
        <v>44</v>
      </c>
      <c r="M918" s="32">
        <f t="shared" si="653"/>
        <v>2</v>
      </c>
      <c r="N918" s="11">
        <f t="shared" si="654"/>
        <v>88</v>
      </c>
      <c r="O918" s="11">
        <f t="shared" si="655"/>
        <v>4297.268</v>
      </c>
      <c r="P918" s="54"/>
      <c r="Q918" s="39"/>
      <c r="R918" s="39"/>
      <c r="U918" s="41"/>
    </row>
    <row r="919" spans="1:21" s="40" customFormat="1" ht="16.8" customHeight="1">
      <c r="A919" s="33">
        <f>IF(H919&lt;&gt;"",1+MAX($A$5:A918),"")</f>
        <v>606</v>
      </c>
      <c r="B919" s="79"/>
      <c r="C919" s="69"/>
      <c r="D919" s="27" t="s">
        <v>604</v>
      </c>
      <c r="E919" s="35">
        <v>2</v>
      </c>
      <c r="F919" s="36">
        <v>0</v>
      </c>
      <c r="G919" s="37">
        <f t="shared" si="646"/>
        <v>2</v>
      </c>
      <c r="H919" s="38" t="s">
        <v>3</v>
      </c>
      <c r="I919" s="19">
        <v>2237.04</v>
      </c>
      <c r="J919" s="19">
        <f t="shared" ref="J919" si="656">I919*G919</f>
        <v>4474.08</v>
      </c>
      <c r="K919" s="31">
        <v>2.2999999999999998</v>
      </c>
      <c r="L919" s="19">
        <f t="shared" si="652"/>
        <v>44</v>
      </c>
      <c r="M919" s="32">
        <f t="shared" si="653"/>
        <v>4.5999999999999996</v>
      </c>
      <c r="N919" s="11">
        <f t="shared" si="654"/>
        <v>202.39999999999998</v>
      </c>
      <c r="O919" s="11">
        <f t="shared" si="655"/>
        <v>4676.4799999999996</v>
      </c>
      <c r="P919" s="54"/>
      <c r="Q919" s="39"/>
      <c r="R919" s="39"/>
      <c r="U919" s="41"/>
    </row>
    <row r="920" spans="1:21" s="40" customFormat="1" ht="16.8" customHeight="1">
      <c r="A920" s="33">
        <f>IF(H920&lt;&gt;"",1+MAX($A$5:A919),"")</f>
        <v>607</v>
      </c>
      <c r="B920" s="79"/>
      <c r="C920" s="69"/>
      <c r="D920" s="27" t="s">
        <v>603</v>
      </c>
      <c r="E920" s="35">
        <v>2</v>
      </c>
      <c r="F920" s="36">
        <v>0</v>
      </c>
      <c r="G920" s="37">
        <f t="shared" si="646"/>
        <v>2</v>
      </c>
      <c r="H920" s="38" t="s">
        <v>3</v>
      </c>
      <c r="I920" s="19">
        <v>114.72</v>
      </c>
      <c r="J920" s="19">
        <f t="shared" si="651"/>
        <v>229.44</v>
      </c>
      <c r="K920" s="31">
        <v>1.2</v>
      </c>
      <c r="L920" s="19">
        <f t="shared" si="652"/>
        <v>44</v>
      </c>
      <c r="M920" s="32">
        <f t="shared" si="653"/>
        <v>2.4</v>
      </c>
      <c r="N920" s="11">
        <f t="shared" si="654"/>
        <v>105.6</v>
      </c>
      <c r="O920" s="11">
        <f t="shared" si="655"/>
        <v>335.03999999999996</v>
      </c>
      <c r="P920" s="54"/>
      <c r="Q920" s="39"/>
      <c r="R920" s="39"/>
      <c r="U920" s="41"/>
    </row>
    <row r="921" spans="1:21" s="40" customFormat="1" ht="16.8" customHeight="1">
      <c r="A921" s="33">
        <f>IF(H921&lt;&gt;"",1+MAX($A$5:A920),"")</f>
        <v>608</v>
      </c>
      <c r="B921" s="79"/>
      <c r="C921" s="69"/>
      <c r="D921" s="27" t="s">
        <v>602</v>
      </c>
      <c r="E921" s="35">
        <v>1</v>
      </c>
      <c r="F921" s="36">
        <v>0</v>
      </c>
      <c r="G921" s="37">
        <f t="shared" si="646"/>
        <v>1</v>
      </c>
      <c r="H921" s="38" t="s">
        <v>3</v>
      </c>
      <c r="I921" s="19">
        <v>1151.0239999999999</v>
      </c>
      <c r="J921" s="19">
        <f t="shared" si="651"/>
        <v>1151.0239999999999</v>
      </c>
      <c r="K921" s="31">
        <v>2</v>
      </c>
      <c r="L921" s="19">
        <f t="shared" si="652"/>
        <v>44</v>
      </c>
      <c r="M921" s="32">
        <f t="shared" si="653"/>
        <v>2</v>
      </c>
      <c r="N921" s="11">
        <f t="shared" si="654"/>
        <v>88</v>
      </c>
      <c r="O921" s="11">
        <f t="shared" si="655"/>
        <v>1239.0239999999999</v>
      </c>
      <c r="P921" s="54"/>
      <c r="Q921" s="39"/>
      <c r="R921" s="39"/>
      <c r="U921" s="41"/>
    </row>
    <row r="922" spans="1:21" s="40" customFormat="1" ht="16.8" customHeight="1">
      <c r="A922" s="33" t="str">
        <f>IF(H922&lt;&gt;"",1+MAX($A$5:A921),"")</f>
        <v/>
      </c>
      <c r="B922" s="79"/>
      <c r="C922" s="69"/>
      <c r="D922" s="27" t="s">
        <v>96</v>
      </c>
      <c r="E922" s="35"/>
      <c r="F922" s="36"/>
      <c r="G922" s="37"/>
      <c r="H922" s="38"/>
      <c r="I922" s="19"/>
      <c r="J922" s="19"/>
      <c r="K922" s="31"/>
      <c r="L922" s="19"/>
      <c r="M922" s="32"/>
      <c r="N922" s="11"/>
      <c r="O922" s="11"/>
      <c r="P922" s="54"/>
      <c r="Q922" s="39"/>
      <c r="R922" s="39"/>
      <c r="U922" s="41"/>
    </row>
    <row r="923" spans="1:21" s="40" customFormat="1" ht="16.8" customHeight="1">
      <c r="A923" s="33" t="str">
        <f>IF(H923&lt;&gt;"",1+MAX($A$5:A922),"")</f>
        <v/>
      </c>
      <c r="B923" s="79"/>
      <c r="C923" s="69"/>
      <c r="D923" s="114" t="s">
        <v>601</v>
      </c>
      <c r="E923" s="35"/>
      <c r="F923" s="36"/>
      <c r="G923" s="37"/>
      <c r="H923" s="38"/>
      <c r="I923" s="19"/>
      <c r="J923" s="19"/>
      <c r="K923" s="31"/>
      <c r="L923" s="19"/>
      <c r="M923" s="32"/>
      <c r="N923" s="11"/>
      <c r="O923" s="11"/>
      <c r="P923" s="54"/>
      <c r="Q923" s="39"/>
      <c r="R923" s="39"/>
      <c r="U923" s="41"/>
    </row>
    <row r="924" spans="1:21" s="40" customFormat="1" ht="16.8" customHeight="1">
      <c r="A924" s="33">
        <f>IF(H924&lt;&gt;"",1+MAX($A$5:A923),"")</f>
        <v>609</v>
      </c>
      <c r="B924" s="79"/>
      <c r="C924" s="69"/>
      <c r="D924" s="27" t="s">
        <v>600</v>
      </c>
      <c r="E924" s="35">
        <v>21.95</v>
      </c>
      <c r="F924" s="36">
        <v>0.1</v>
      </c>
      <c r="G924" s="37">
        <f t="shared" ref="G924:G929" si="657">(1+F924)*E924</f>
        <v>24.145</v>
      </c>
      <c r="H924" s="38" t="s">
        <v>4</v>
      </c>
      <c r="I924" s="19">
        <v>11.758800000000001</v>
      </c>
      <c r="J924" s="19">
        <f t="shared" ref="J924:J929" si="658">I924*G924</f>
        <v>283.91622599999999</v>
      </c>
      <c r="K924" s="31">
        <v>0.08</v>
      </c>
      <c r="L924" s="19">
        <f t="shared" ref="L924:L929" si="659">$O$909</f>
        <v>44</v>
      </c>
      <c r="M924" s="32">
        <f t="shared" ref="M924:M929" si="660">K924*G924</f>
        <v>1.9316</v>
      </c>
      <c r="N924" s="11">
        <f t="shared" ref="N924:N929" si="661">M924*L924</f>
        <v>84.990399999999994</v>
      </c>
      <c r="O924" s="11">
        <f t="shared" ref="O924:O929" si="662">N924+J924</f>
        <v>368.90662599999996</v>
      </c>
      <c r="P924" s="54"/>
      <c r="Q924" s="39"/>
      <c r="R924" s="39"/>
      <c r="U924" s="41"/>
    </row>
    <row r="925" spans="1:21" s="40" customFormat="1" ht="16.8" customHeight="1">
      <c r="A925" s="33">
        <f>IF(H925&lt;&gt;"",1+MAX($A$5:A924),"")</f>
        <v>610</v>
      </c>
      <c r="B925" s="79"/>
      <c r="C925" s="69"/>
      <c r="D925" s="27" t="s">
        <v>599</v>
      </c>
      <c r="E925" s="35">
        <v>44</v>
      </c>
      <c r="F925" s="36">
        <v>0.1</v>
      </c>
      <c r="G925" s="37">
        <f t="shared" si="657"/>
        <v>48.400000000000006</v>
      </c>
      <c r="H925" s="38" t="s">
        <v>4</v>
      </c>
      <c r="I925" s="19">
        <v>12.619199999999999</v>
      </c>
      <c r="J925" s="19">
        <f t="shared" si="658"/>
        <v>610.76928000000009</v>
      </c>
      <c r="K925" s="31">
        <v>0.14000000000000001</v>
      </c>
      <c r="L925" s="19">
        <f t="shared" si="659"/>
        <v>44</v>
      </c>
      <c r="M925" s="32">
        <f t="shared" si="660"/>
        <v>6.7760000000000016</v>
      </c>
      <c r="N925" s="11">
        <f t="shared" si="661"/>
        <v>298.14400000000006</v>
      </c>
      <c r="O925" s="11">
        <f t="shared" si="662"/>
        <v>908.91328000000021</v>
      </c>
      <c r="P925" s="54"/>
      <c r="Q925" s="39"/>
      <c r="R925" s="39"/>
      <c r="U925" s="41"/>
    </row>
    <row r="926" spans="1:21" s="40" customFormat="1" ht="16.8" customHeight="1">
      <c r="A926" s="33">
        <f>IF(H926&lt;&gt;"",1+MAX($A$5:A925),"")</f>
        <v>611</v>
      </c>
      <c r="B926" s="79"/>
      <c r="C926" s="69"/>
      <c r="D926" s="27" t="s">
        <v>598</v>
      </c>
      <c r="E926" s="35">
        <v>110</v>
      </c>
      <c r="F926" s="36">
        <v>0.1</v>
      </c>
      <c r="G926" s="37">
        <f t="shared" si="657"/>
        <v>121.00000000000001</v>
      </c>
      <c r="H926" s="38" t="s">
        <v>32</v>
      </c>
      <c r="I926" s="19">
        <v>5.3535999999999992</v>
      </c>
      <c r="J926" s="19">
        <f t="shared" si="658"/>
        <v>647.78559999999993</v>
      </c>
      <c r="K926" s="31">
        <v>0.08</v>
      </c>
      <c r="L926" s="19">
        <f t="shared" si="659"/>
        <v>44</v>
      </c>
      <c r="M926" s="32">
        <f t="shared" si="660"/>
        <v>9.6800000000000015</v>
      </c>
      <c r="N926" s="11">
        <f t="shared" si="661"/>
        <v>425.92000000000007</v>
      </c>
      <c r="O926" s="11">
        <f t="shared" si="662"/>
        <v>1073.7056</v>
      </c>
      <c r="P926" s="54"/>
      <c r="Q926" s="39"/>
      <c r="R926" s="39"/>
      <c r="U926" s="41"/>
    </row>
    <row r="927" spans="1:21" s="40" customFormat="1" ht="16.8" customHeight="1">
      <c r="A927" s="33">
        <f>IF(H927&lt;&gt;"",1+MAX($A$5:A926),"")</f>
        <v>612</v>
      </c>
      <c r="B927" s="79"/>
      <c r="C927" s="69"/>
      <c r="D927" s="27" t="s">
        <v>597</v>
      </c>
      <c r="E927" s="35">
        <v>154</v>
      </c>
      <c r="F927" s="36">
        <v>0.1</v>
      </c>
      <c r="G927" s="37">
        <f t="shared" si="657"/>
        <v>169.4</v>
      </c>
      <c r="H927" s="38" t="s">
        <v>32</v>
      </c>
      <c r="I927" s="19">
        <v>11.758800000000001</v>
      </c>
      <c r="J927" s="19">
        <f t="shared" si="658"/>
        <v>1991.9407200000003</v>
      </c>
      <c r="K927" s="31">
        <v>8.7999999999999995E-2</v>
      </c>
      <c r="L927" s="19">
        <f t="shared" si="659"/>
        <v>44</v>
      </c>
      <c r="M927" s="32">
        <f t="shared" si="660"/>
        <v>14.9072</v>
      </c>
      <c r="N927" s="11">
        <f t="shared" si="661"/>
        <v>655.91679999999997</v>
      </c>
      <c r="O927" s="11">
        <f t="shared" si="662"/>
        <v>2647.8575200000005</v>
      </c>
      <c r="P927" s="54"/>
      <c r="Q927" s="39"/>
      <c r="R927" s="39"/>
      <c r="U927" s="41"/>
    </row>
    <row r="928" spans="1:21" s="40" customFormat="1" ht="16.8" customHeight="1">
      <c r="A928" s="33">
        <f>IF(H928&lt;&gt;"",1+MAX($A$5:A927),"")</f>
        <v>613</v>
      </c>
      <c r="B928" s="79"/>
      <c r="C928" s="69"/>
      <c r="D928" s="27" t="s">
        <v>596</v>
      </c>
      <c r="E928" s="35">
        <v>0.54</v>
      </c>
      <c r="F928" s="36">
        <v>0</v>
      </c>
      <c r="G928" s="37">
        <f t="shared" si="657"/>
        <v>0.54</v>
      </c>
      <c r="H928" s="38" t="s">
        <v>85</v>
      </c>
      <c r="I928" s="19">
        <v>516.24</v>
      </c>
      <c r="J928" s="19">
        <f t="shared" si="658"/>
        <v>278.76960000000003</v>
      </c>
      <c r="K928" s="31">
        <v>2.44</v>
      </c>
      <c r="L928" s="19">
        <f t="shared" si="659"/>
        <v>44</v>
      </c>
      <c r="M928" s="32">
        <f t="shared" si="660"/>
        <v>1.3176000000000001</v>
      </c>
      <c r="N928" s="11">
        <f t="shared" si="661"/>
        <v>57.974400000000003</v>
      </c>
      <c r="O928" s="11">
        <f t="shared" si="662"/>
        <v>336.74400000000003</v>
      </c>
      <c r="P928" s="54"/>
      <c r="Q928" s="39"/>
      <c r="R928" s="39"/>
      <c r="U928" s="41"/>
    </row>
    <row r="929" spans="1:21" s="40" customFormat="1" ht="16.8" customHeight="1">
      <c r="A929" s="33">
        <f>IF(H929&lt;&gt;"",1+MAX($A$5:A928),"")</f>
        <v>614</v>
      </c>
      <c r="B929" s="79"/>
      <c r="C929" s="69"/>
      <c r="D929" s="27" t="s">
        <v>595</v>
      </c>
      <c r="E929" s="35">
        <v>0.8</v>
      </c>
      <c r="F929" s="36">
        <v>0</v>
      </c>
      <c r="G929" s="37">
        <f t="shared" si="657"/>
        <v>0.8</v>
      </c>
      <c r="H929" s="38" t="s">
        <v>85</v>
      </c>
      <c r="I929" s="97">
        <v>0</v>
      </c>
      <c r="J929" s="97">
        <f t="shared" si="658"/>
        <v>0</v>
      </c>
      <c r="K929" s="31">
        <v>0.78</v>
      </c>
      <c r="L929" s="19">
        <f t="shared" si="659"/>
        <v>44</v>
      </c>
      <c r="M929" s="32">
        <f t="shared" si="660"/>
        <v>0.62400000000000011</v>
      </c>
      <c r="N929" s="11">
        <f t="shared" si="661"/>
        <v>27.456000000000003</v>
      </c>
      <c r="O929" s="11">
        <f t="shared" si="662"/>
        <v>27.456000000000003</v>
      </c>
      <c r="P929" s="54"/>
      <c r="Q929" s="39"/>
      <c r="R929" s="39"/>
      <c r="U929" s="41"/>
    </row>
    <row r="930" spans="1:21" s="40" customFormat="1" ht="16.8" customHeight="1">
      <c r="A930" s="33" t="str">
        <f>IF(H930&lt;&gt;"",1+MAX($A$5:A929),"")</f>
        <v/>
      </c>
      <c r="B930" s="79"/>
      <c r="C930" s="69"/>
      <c r="D930" s="27"/>
      <c r="E930" s="35"/>
      <c r="F930" s="36"/>
      <c r="G930" s="37"/>
      <c r="H930" s="38"/>
      <c r="I930" s="19"/>
      <c r="J930" s="19"/>
      <c r="K930" s="31"/>
      <c r="L930" s="19"/>
      <c r="M930" s="32"/>
      <c r="N930" s="11"/>
      <c r="O930" s="11"/>
      <c r="P930" s="54"/>
      <c r="Q930" s="39"/>
      <c r="R930" s="39"/>
      <c r="U930" s="41"/>
    </row>
    <row r="931" spans="1:21" s="3" customFormat="1">
      <c r="A931" s="33" t="str">
        <f>IF(H931&lt;&gt;"",1+MAX($A$5:A930),"")</f>
        <v/>
      </c>
      <c r="B931" s="78"/>
      <c r="C931" s="70"/>
      <c r="D931" s="27"/>
      <c r="E931" s="23"/>
      <c r="F931" s="10"/>
      <c r="G931" s="22"/>
      <c r="H931" s="24"/>
      <c r="I931" s="19"/>
      <c r="J931" s="19"/>
      <c r="K931" s="31"/>
      <c r="L931" s="19"/>
      <c r="M931" s="32"/>
      <c r="N931" s="11"/>
      <c r="O931" s="11"/>
      <c r="P931" s="54"/>
      <c r="Q931" s="2"/>
      <c r="R931" s="2"/>
      <c r="U931" s="14"/>
    </row>
    <row r="932" spans="1:21" s="3" customFormat="1">
      <c r="A932" s="30"/>
      <c r="B932" s="78"/>
      <c r="C932" s="70"/>
      <c r="D932" s="64"/>
      <c r="E932" s="26"/>
      <c r="F932" s="10"/>
      <c r="G932" s="22"/>
      <c r="H932" s="25"/>
      <c r="I932" s="19"/>
      <c r="J932" s="19"/>
      <c r="K932" s="19"/>
      <c r="L932" s="83" t="s">
        <v>22</v>
      </c>
      <c r="M932" s="84">
        <f>SUM(M5:M930)</f>
        <v>5177.3254625236086</v>
      </c>
      <c r="N932" s="11"/>
      <c r="O932" s="11"/>
      <c r="P932" s="54"/>
      <c r="Q932" s="2"/>
      <c r="R932" s="2"/>
      <c r="U932" s="14"/>
    </row>
    <row r="933" spans="1:21" ht="16.2" thickBot="1">
      <c r="A933" s="28"/>
      <c r="B933" s="59" t="s">
        <v>23</v>
      </c>
      <c r="C933" s="43"/>
      <c r="D933" s="65"/>
      <c r="E933" s="42"/>
      <c r="F933" s="43"/>
      <c r="G933" s="43"/>
      <c r="H933" s="44"/>
      <c r="I933" s="44"/>
      <c r="J933" s="44"/>
      <c r="K933" s="44"/>
      <c r="L933" s="34"/>
      <c r="M933" s="34"/>
      <c r="N933" s="45"/>
      <c r="O933" s="55"/>
      <c r="P933" s="56">
        <f>SUM(P5:P930)</f>
        <v>785836.13848309324</v>
      </c>
    </row>
    <row r="934" spans="1:21" ht="16.8" thickTop="1" thickBot="1">
      <c r="A934" s="28"/>
      <c r="B934" s="60" t="s">
        <v>24</v>
      </c>
      <c r="C934" s="65"/>
      <c r="D934" s="65"/>
      <c r="E934" s="42"/>
      <c r="F934" s="43"/>
      <c r="G934" s="43"/>
      <c r="H934" s="44"/>
      <c r="I934" s="44"/>
      <c r="J934" s="44"/>
      <c r="K934" s="44"/>
      <c r="L934" s="44"/>
      <c r="M934" s="44"/>
      <c r="N934" s="46">
        <v>8.5999999999999993E-2</v>
      </c>
      <c r="O934" s="47"/>
      <c r="P934" s="57">
        <f>P933*N934</f>
        <v>67581.907909546018</v>
      </c>
    </row>
    <row r="935" spans="1:21" ht="16.8" thickTop="1" thickBot="1">
      <c r="A935" s="28"/>
      <c r="B935" s="60" t="s">
        <v>25</v>
      </c>
      <c r="C935" s="65"/>
      <c r="D935" s="65"/>
      <c r="E935" s="42"/>
      <c r="F935" s="43"/>
      <c r="G935" s="43"/>
      <c r="H935" s="44"/>
      <c r="I935" s="44"/>
      <c r="J935" s="44"/>
      <c r="K935" s="44"/>
      <c r="L935" s="44"/>
      <c r="M935" s="44"/>
      <c r="N935" s="48">
        <v>0.25</v>
      </c>
      <c r="O935" s="47"/>
      <c r="P935" s="57">
        <f>P933*N935</f>
        <v>196459.03462077331</v>
      </c>
    </row>
    <row r="936" spans="1:21" ht="16.8" thickTop="1" thickBot="1">
      <c r="A936" s="28"/>
      <c r="B936" s="61" t="s">
        <v>26</v>
      </c>
      <c r="C936" s="66"/>
      <c r="D936" s="66"/>
      <c r="E936" s="49"/>
      <c r="F936" s="50"/>
      <c r="G936" s="50"/>
      <c r="H936" s="51"/>
      <c r="I936" s="51"/>
      <c r="J936" s="51"/>
      <c r="K936" s="51"/>
      <c r="L936" s="51"/>
      <c r="M936" s="51"/>
      <c r="N936" s="52"/>
      <c r="O936" s="53"/>
      <c r="P936" s="58">
        <f>SUM(P933:P935)</f>
        <v>1049877.0810134127</v>
      </c>
    </row>
    <row r="937" spans="1:21" ht="16.2" thickTop="1">
      <c r="A937" s="85"/>
      <c r="B937" s="86"/>
      <c r="C937" s="86"/>
      <c r="D937" s="87"/>
      <c r="E937" s="88"/>
      <c r="F937" s="89"/>
      <c r="G937" s="89"/>
      <c r="H937" s="90"/>
      <c r="I937" s="90"/>
      <c r="J937" s="90"/>
      <c r="K937" s="90"/>
      <c r="L937" s="90"/>
      <c r="M937" s="90"/>
      <c r="N937" s="91"/>
      <c r="O937" s="92"/>
      <c r="P937" s="93"/>
    </row>
    <row r="938" spans="1:21" ht="18" customHeight="1">
      <c r="A938" s="118" t="s">
        <v>114</v>
      </c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20"/>
    </row>
    <row r="939" spans="1:21">
      <c r="A939" s="115" t="s">
        <v>115</v>
      </c>
      <c r="B939" s="116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7"/>
    </row>
    <row r="940" spans="1:21">
      <c r="A940" s="115" t="s">
        <v>116</v>
      </c>
      <c r="B940" s="116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7"/>
    </row>
    <row r="941" spans="1:21">
      <c r="A941" s="115" t="s">
        <v>614</v>
      </c>
      <c r="B941" s="116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7"/>
    </row>
    <row r="942" spans="1:21">
      <c r="A942" s="115" t="s">
        <v>117</v>
      </c>
      <c r="B942" s="116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7"/>
    </row>
    <row r="943" spans="1:21">
      <c r="A943" s="115" t="s">
        <v>119</v>
      </c>
      <c r="B943" s="116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7"/>
    </row>
    <row r="944" spans="1:21">
      <c r="A944" s="115" t="s">
        <v>118</v>
      </c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7"/>
    </row>
  </sheetData>
  <mergeCells count="15">
    <mergeCell ref="P2:P3"/>
    <mergeCell ref="A1:B1"/>
    <mergeCell ref="A2:B2"/>
    <mergeCell ref="A3:B3"/>
    <mergeCell ref="D1:N1"/>
    <mergeCell ref="D2:N2"/>
    <mergeCell ref="D3:N3"/>
    <mergeCell ref="O2:O3"/>
    <mergeCell ref="A942:P942"/>
    <mergeCell ref="A938:P938"/>
    <mergeCell ref="A943:P943"/>
    <mergeCell ref="A944:P944"/>
    <mergeCell ref="A939:P939"/>
    <mergeCell ref="A940:P940"/>
    <mergeCell ref="A941:P941"/>
  </mergeCells>
  <printOptions horizontalCentered="1"/>
  <pageMargins left="0.43307086614173201" right="0.43307086614173201" top="0.39370078740157499" bottom="0.39370078740157499" header="0.196850393700787" footer="0.196850393700787"/>
  <pageSetup scale="27" fitToHeight="0" orientation="portrait" r:id="rId1"/>
  <headerFooter>
    <oddFooter>&amp;C&amp;P of &amp;N</oddFooter>
  </headerFooter>
  <ignoredErrors>
    <ignoredError sqref="B25:N25 A24:C24 R24:XFD24 E24:O24 P25 R25:XFD25 E143 E145 E151 E153 A162 A206 A297 A326 A378 A585 A597 A612 A625 A707 A797 A882 A902 A908 J8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133AE4D6-39D0-4676-8795-B614B336EF9D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 Statement</vt:lpstr>
      <vt:lpstr>'Estimate Statement'!Print_Area</vt:lpstr>
      <vt:lpstr>'Estimate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2023-09-27T15:07:49Z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{133AE4D6-39D0-4676-8795-B614B336EF9D}</vt:lpwstr>
  </property>
</Properties>
</file>