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1"/>
  <workbookPr filterPrivacy="1" codeName="ThisWorkbook" defaultThemeVersion="124226"/>
  <xr:revisionPtr revIDLastSave="0" documentId="8_{AE60F756-EBCE-4F39-B56E-8AF5AA338E50}" xr6:coauthVersionLast="47" xr6:coauthVersionMax="47" xr10:uidLastSave="{00000000-0000-0000-0000-000000000000}"/>
  <bookViews>
    <workbookView xWindow="0" yWindow="0" windowWidth="20490" windowHeight="6420" xr2:uid="{00000000-000D-0000-FFFF-FFFF00000000}"/>
  </bookViews>
  <sheets>
    <sheet name="Estimate" sheetId="11" r:id="rId1"/>
  </sheets>
  <definedNames>
    <definedName name="_xlnm._FilterDatabase" localSheetId="0" hidden="1">Estimate!$C$1:$L$482</definedName>
    <definedName name="_xlnm.Print_Area" localSheetId="0">Estimate!$A$1:$N$482</definedName>
    <definedName name="_xlnm.Print_Titles" localSheetId="0">Estimate!$8:$8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3" i="11" l="1"/>
  <c r="D326" i="11"/>
  <c r="D272" i="11"/>
  <c r="D231" i="11"/>
  <c r="D223" i="11"/>
  <c r="D127" i="11"/>
  <c r="J476" i="11"/>
  <c r="H476" i="11"/>
  <c r="J475" i="11"/>
  <c r="H475" i="11"/>
  <c r="J474" i="11"/>
  <c r="H474" i="11"/>
  <c r="J473" i="11"/>
  <c r="H473" i="11"/>
  <c r="J472" i="11"/>
  <c r="H472" i="11"/>
  <c r="H471" i="11"/>
  <c r="J471" i="11"/>
  <c r="J469" i="11"/>
  <c r="H469" i="11"/>
  <c r="H470" i="11"/>
  <c r="J470" i="11"/>
  <c r="J468" i="11"/>
  <c r="H468" i="11"/>
  <c r="J467" i="11"/>
  <c r="H467" i="11"/>
  <c r="J416" i="11"/>
  <c r="H416" i="11"/>
  <c r="J413" i="11"/>
  <c r="H413" i="11"/>
  <c r="D70" i="11" l="1"/>
  <c r="J443" i="11" l="1"/>
  <c r="H443" i="11"/>
  <c r="J442" i="11"/>
  <c r="H442" i="11"/>
  <c r="D355" i="11"/>
  <c r="D354" i="11"/>
  <c r="D353" i="11"/>
  <c r="H355" i="11"/>
  <c r="L355" i="11" s="1"/>
  <c r="H354" i="11"/>
  <c r="L354" i="11" s="1"/>
  <c r="H353" i="11"/>
  <c r="L353" i="11" s="1"/>
  <c r="J349" i="11"/>
  <c r="H349" i="11"/>
  <c r="J348" i="11"/>
  <c r="H348" i="11"/>
  <c r="J341" i="11"/>
  <c r="H341" i="11"/>
  <c r="J340" i="11"/>
  <c r="H340" i="11"/>
  <c r="J333" i="11"/>
  <c r="H333" i="11"/>
  <c r="J326" i="11"/>
  <c r="H326" i="11"/>
  <c r="J320" i="11"/>
  <c r="H320" i="11"/>
  <c r="J314" i="11"/>
  <c r="H314" i="11"/>
  <c r="J307" i="11"/>
  <c r="H307" i="11"/>
  <c r="J301" i="11"/>
  <c r="H301" i="11"/>
  <c r="J300" i="11"/>
  <c r="H300" i="11"/>
  <c r="J294" i="11"/>
  <c r="H294" i="11"/>
  <c r="J287" i="11"/>
  <c r="H287" i="11"/>
  <c r="J286" i="11"/>
  <c r="H286" i="11"/>
  <c r="J280" i="11"/>
  <c r="H280" i="11"/>
  <c r="J279" i="11"/>
  <c r="H279" i="11"/>
  <c r="J272" i="11"/>
  <c r="H272" i="11"/>
  <c r="J261" i="11"/>
  <c r="H261" i="11"/>
  <c r="J254" i="11"/>
  <c r="H254" i="11"/>
  <c r="J246" i="11"/>
  <c r="H246" i="11"/>
  <c r="J239" i="11"/>
  <c r="H239" i="11"/>
  <c r="J231" i="11"/>
  <c r="H231" i="11"/>
  <c r="J223" i="11"/>
  <c r="H223" i="11"/>
  <c r="J213" i="11"/>
  <c r="H213" i="11"/>
  <c r="J212" i="11"/>
  <c r="H212" i="11"/>
  <c r="J205" i="11"/>
  <c r="H205" i="11"/>
  <c r="J199" i="11"/>
  <c r="H199" i="11"/>
  <c r="J192" i="11"/>
  <c r="H192" i="11"/>
  <c r="J191" i="11"/>
  <c r="H191" i="11"/>
  <c r="J185" i="11"/>
  <c r="H185" i="11"/>
  <c r="J184" i="11"/>
  <c r="H184" i="11"/>
  <c r="J178" i="11"/>
  <c r="H178" i="11"/>
  <c r="J177" i="11"/>
  <c r="H177" i="11"/>
  <c r="J170" i="11"/>
  <c r="H170" i="11"/>
  <c r="J169" i="11"/>
  <c r="H169" i="11"/>
  <c r="J163" i="11"/>
  <c r="H163" i="11"/>
  <c r="J156" i="11"/>
  <c r="H156" i="11"/>
  <c r="J155" i="11"/>
  <c r="H155" i="11"/>
  <c r="J149" i="11"/>
  <c r="H149" i="11"/>
  <c r="J148" i="11"/>
  <c r="H148" i="11"/>
  <c r="J140" i="11"/>
  <c r="H140" i="11"/>
  <c r="J133" i="11"/>
  <c r="H133" i="11"/>
  <c r="J117" i="11" l="1"/>
  <c r="H117" i="11"/>
  <c r="J106" i="11"/>
  <c r="H106" i="11"/>
  <c r="J97" i="11"/>
  <c r="H97" i="11"/>
  <c r="F121" i="11"/>
  <c r="K121" i="11" s="1"/>
  <c r="L121" i="11"/>
  <c r="D35" i="11"/>
  <c r="D461" i="11"/>
  <c r="D460" i="11"/>
  <c r="D459" i="11"/>
  <c r="F459" i="11" s="1"/>
  <c r="L462" i="11"/>
  <c r="L461" i="11"/>
  <c r="L460" i="11"/>
  <c r="F460" i="11"/>
  <c r="L459" i="11"/>
  <c r="D455" i="11"/>
  <c r="F455" i="11" s="1"/>
  <c r="I455" i="11" s="1"/>
  <c r="D453" i="11"/>
  <c r="D452" i="11"/>
  <c r="F452" i="11" s="1"/>
  <c r="D451" i="11"/>
  <c r="F451" i="11" s="1"/>
  <c r="I451" i="11" s="1"/>
  <c r="L451" i="11"/>
  <c r="L452" i="11"/>
  <c r="F453" i="11"/>
  <c r="K453" i="11" s="1"/>
  <c r="L453" i="11"/>
  <c r="L454" i="11"/>
  <c r="L455" i="11"/>
  <c r="D462" i="11" l="1"/>
  <c r="F462" i="11" s="1"/>
  <c r="K462" i="11" s="1"/>
  <c r="K460" i="11"/>
  <c r="I460" i="11"/>
  <c r="K459" i="11"/>
  <c r="I459" i="11"/>
  <c r="M121" i="11"/>
  <c r="I121" i="11"/>
  <c r="K452" i="11"/>
  <c r="I452" i="11"/>
  <c r="D454" i="11"/>
  <c r="F454" i="11" s="1"/>
  <c r="M454" i="11" s="1"/>
  <c r="M455" i="11"/>
  <c r="M452" i="11"/>
  <c r="K455" i="11"/>
  <c r="M459" i="11"/>
  <c r="M460" i="11"/>
  <c r="F461" i="11"/>
  <c r="I453" i="11"/>
  <c r="M451" i="11"/>
  <c r="K451" i="11"/>
  <c r="M453" i="11"/>
  <c r="L112" i="11"/>
  <c r="D112" i="11"/>
  <c r="F112" i="11" s="1"/>
  <c r="I112" i="11" s="1"/>
  <c r="L111" i="11"/>
  <c r="L110" i="11"/>
  <c r="D110" i="11"/>
  <c r="F110" i="11" s="1"/>
  <c r="I110" i="11" s="1"/>
  <c r="L109" i="11"/>
  <c r="L108" i="11"/>
  <c r="L107" i="11"/>
  <c r="F107" i="11"/>
  <c r="L106" i="11"/>
  <c r="D106" i="11"/>
  <c r="D108" i="11" s="1"/>
  <c r="L103" i="11"/>
  <c r="L102" i="11"/>
  <c r="L101" i="11"/>
  <c r="L100" i="11"/>
  <c r="L99" i="11"/>
  <c r="L98" i="11"/>
  <c r="L97" i="11"/>
  <c r="F98" i="11"/>
  <c r="I98" i="11" s="1"/>
  <c r="D103" i="11"/>
  <c r="F103" i="11" s="1"/>
  <c r="I103" i="11" s="1"/>
  <c r="D101" i="11"/>
  <c r="F101" i="11" s="1"/>
  <c r="D97" i="11"/>
  <c r="D99" i="11" s="1"/>
  <c r="D94" i="11"/>
  <c r="F94" i="11" s="1"/>
  <c r="I94" i="11" s="1"/>
  <c r="D93" i="11"/>
  <c r="F93" i="11" s="1"/>
  <c r="I93" i="11" s="1"/>
  <c r="D91" i="11"/>
  <c r="D90" i="11"/>
  <c r="F90" i="11" s="1"/>
  <c r="I90" i="11" s="1"/>
  <c r="D89" i="11"/>
  <c r="F89" i="11" s="1"/>
  <c r="I89" i="11" s="1"/>
  <c r="L94" i="11"/>
  <c r="L93" i="11"/>
  <c r="L92" i="11"/>
  <c r="L91" i="11"/>
  <c r="L90" i="11"/>
  <c r="L89" i="11"/>
  <c r="D86" i="11"/>
  <c r="F86" i="11" s="1"/>
  <c r="D85" i="11"/>
  <c r="F85" i="11" s="1"/>
  <c r="K85" i="11" s="1"/>
  <c r="D83" i="11"/>
  <c r="F83" i="11" s="1"/>
  <c r="D81" i="11"/>
  <c r="F81" i="11" s="1"/>
  <c r="K81" i="11" s="1"/>
  <c r="D82" i="11"/>
  <c r="F82" i="11" s="1"/>
  <c r="I82" i="11" s="1"/>
  <c r="L86" i="11"/>
  <c r="L85" i="11"/>
  <c r="L84" i="11"/>
  <c r="L83" i="11"/>
  <c r="L82" i="11"/>
  <c r="L81" i="11"/>
  <c r="D119" i="11"/>
  <c r="D120" i="11"/>
  <c r="D430" i="11"/>
  <c r="M462" i="11" l="1"/>
  <c r="I462" i="11"/>
  <c r="M461" i="11"/>
  <c r="K461" i="11"/>
  <c r="I461" i="11"/>
  <c r="K454" i="11"/>
  <c r="I454" i="11"/>
  <c r="K107" i="11"/>
  <c r="I107" i="11"/>
  <c r="M98" i="11"/>
  <c r="M103" i="11"/>
  <c r="D92" i="11"/>
  <c r="F92" i="11" s="1"/>
  <c r="F99" i="11"/>
  <c r="M99" i="11" s="1"/>
  <c r="D100" i="11"/>
  <c r="F100" i="11" s="1"/>
  <c r="I101" i="11"/>
  <c r="K101" i="11"/>
  <c r="M101" i="11"/>
  <c r="D102" i="11"/>
  <c r="F102" i="11" s="1"/>
  <c r="M102" i="11" s="1"/>
  <c r="M82" i="11"/>
  <c r="F97" i="11"/>
  <c r="M97" i="11" s="1"/>
  <c r="K98" i="11"/>
  <c r="K103" i="11"/>
  <c r="F106" i="11"/>
  <c r="D111" i="11"/>
  <c r="F111" i="11" s="1"/>
  <c r="I111" i="11" s="1"/>
  <c r="M107" i="11"/>
  <c r="M110" i="11"/>
  <c r="M112" i="11"/>
  <c r="K110" i="11"/>
  <c r="K112" i="11"/>
  <c r="F108" i="11"/>
  <c r="I108" i="11" s="1"/>
  <c r="D109" i="11"/>
  <c r="F109" i="11" s="1"/>
  <c r="I109" i="11" s="1"/>
  <c r="M90" i="11"/>
  <c r="K83" i="11"/>
  <c r="I83" i="11"/>
  <c r="D84" i="11"/>
  <c r="F84" i="11" s="1"/>
  <c r="M84" i="11" s="1"/>
  <c r="K82" i="11"/>
  <c r="K93" i="11"/>
  <c r="K89" i="11"/>
  <c r="M93" i="11"/>
  <c r="M89" i="11"/>
  <c r="K94" i="11"/>
  <c r="K90" i="11"/>
  <c r="M94" i="11"/>
  <c r="F91" i="11"/>
  <c r="I91" i="11" s="1"/>
  <c r="K86" i="11"/>
  <c r="I86" i="11"/>
  <c r="M86" i="11"/>
  <c r="I85" i="11"/>
  <c r="M85" i="11"/>
  <c r="M83" i="11"/>
  <c r="I81" i="11"/>
  <c r="M81" i="11"/>
  <c r="D351" i="11"/>
  <c r="F351" i="11" s="1"/>
  <c r="D350" i="11"/>
  <c r="F350" i="11" s="1"/>
  <c r="D349" i="11"/>
  <c r="F349" i="11" s="1"/>
  <c r="I349" i="11" s="1"/>
  <c r="L351" i="11"/>
  <c r="L350" i="11"/>
  <c r="L349" i="11"/>
  <c r="L348" i="11"/>
  <c r="D343" i="11"/>
  <c r="F343" i="11" s="1"/>
  <c r="L343" i="11"/>
  <c r="D342" i="11"/>
  <c r="F342" i="11" s="1"/>
  <c r="L342" i="11"/>
  <c r="L341" i="11"/>
  <c r="D341" i="11"/>
  <c r="L340" i="11"/>
  <c r="D335" i="11"/>
  <c r="F335" i="11" s="1"/>
  <c r="L335" i="11"/>
  <c r="D334" i="11"/>
  <c r="F334" i="11" s="1"/>
  <c r="K334" i="11" s="1"/>
  <c r="F333" i="11"/>
  <c r="I333" i="11" s="1"/>
  <c r="L334" i="11"/>
  <c r="L333" i="11"/>
  <c r="D328" i="11"/>
  <c r="D327" i="11"/>
  <c r="F327" i="11" s="1"/>
  <c r="F326" i="11"/>
  <c r="I326" i="11" s="1"/>
  <c r="L328" i="11"/>
  <c r="F328" i="11"/>
  <c r="L327" i="11"/>
  <c r="L326" i="11"/>
  <c r="D323" i="11"/>
  <c r="F323" i="11" s="1"/>
  <c r="K323" i="11" s="1"/>
  <c r="D321" i="11"/>
  <c r="F321" i="11" s="1"/>
  <c r="D320" i="11"/>
  <c r="F320" i="11" s="1"/>
  <c r="I320" i="11" s="1"/>
  <c r="L323" i="11"/>
  <c r="D322" i="11"/>
  <c r="F322" i="11" s="1"/>
  <c r="L322" i="11"/>
  <c r="L321" i="11"/>
  <c r="L320" i="11"/>
  <c r="D309" i="11"/>
  <c r="F309" i="11" s="1"/>
  <c r="L309" i="11"/>
  <c r="D308" i="11"/>
  <c r="F308" i="11" s="1"/>
  <c r="D307" i="11"/>
  <c r="F307" i="11" s="1"/>
  <c r="I307" i="11" s="1"/>
  <c r="L308" i="11"/>
  <c r="L307" i="11"/>
  <c r="D315" i="11"/>
  <c r="F315" i="11" s="1"/>
  <c r="D314" i="11"/>
  <c r="F314" i="11" s="1"/>
  <c r="I314" i="11" s="1"/>
  <c r="L315" i="11"/>
  <c r="L314" i="11"/>
  <c r="D302" i="11"/>
  <c r="F302" i="11" s="1"/>
  <c r="D301" i="11"/>
  <c r="D300" i="11" s="1"/>
  <c r="F300" i="11" s="1"/>
  <c r="I300" i="11" s="1"/>
  <c r="L302" i="11"/>
  <c r="L301" i="11"/>
  <c r="L300" i="11"/>
  <c r="D294" i="11"/>
  <c r="F294" i="11" s="1"/>
  <c r="I294" i="11" s="1"/>
  <c r="D295" i="11"/>
  <c r="F295" i="11" s="1"/>
  <c r="L295" i="11"/>
  <c r="L294" i="11"/>
  <c r="L319" i="11"/>
  <c r="D319" i="11"/>
  <c r="F319" i="11" s="1"/>
  <c r="L318" i="11"/>
  <c r="D318" i="11"/>
  <c r="F318" i="11" s="1"/>
  <c r="L313" i="11"/>
  <c r="D313" i="11"/>
  <c r="F313" i="11" s="1"/>
  <c r="L312" i="11"/>
  <c r="D312" i="11"/>
  <c r="F312" i="11" s="1"/>
  <c r="L306" i="11"/>
  <c r="D306" i="11"/>
  <c r="F306" i="11" s="1"/>
  <c r="K306" i="11" s="1"/>
  <c r="L305" i="11"/>
  <c r="D305" i="11"/>
  <c r="F305" i="11" s="1"/>
  <c r="L299" i="11"/>
  <c r="D299" i="11"/>
  <c r="F299" i="11" s="1"/>
  <c r="L298" i="11"/>
  <c r="D298" i="11"/>
  <c r="F298" i="11" s="1"/>
  <c r="L293" i="11"/>
  <c r="D293" i="11"/>
  <c r="F293" i="11" s="1"/>
  <c r="L292" i="11"/>
  <c r="D292" i="11"/>
  <c r="F292" i="11" s="1"/>
  <c r="D289" i="11"/>
  <c r="F289" i="11" s="1"/>
  <c r="L289" i="11"/>
  <c r="D288" i="11"/>
  <c r="F288" i="11" s="1"/>
  <c r="D287" i="11"/>
  <c r="D286" i="11" s="1"/>
  <c r="F286" i="11" s="1"/>
  <c r="I286" i="11" s="1"/>
  <c r="L288" i="11"/>
  <c r="L287" i="11"/>
  <c r="L286" i="11"/>
  <c r="L285" i="11"/>
  <c r="D285" i="11"/>
  <c r="F285" i="11" s="1"/>
  <c r="L284" i="11"/>
  <c r="D284" i="11"/>
  <c r="F284" i="11" s="1"/>
  <c r="D281" i="11"/>
  <c r="F281" i="11" s="1"/>
  <c r="D280" i="11"/>
  <c r="F280" i="11" s="1"/>
  <c r="I280" i="11" s="1"/>
  <c r="L280" i="11"/>
  <c r="L281" i="11"/>
  <c r="L279" i="11"/>
  <c r="D273" i="11"/>
  <c r="F273" i="11" s="1"/>
  <c r="F272" i="11"/>
  <c r="I272" i="11" s="1"/>
  <c r="D274" i="11"/>
  <c r="F274" i="11" s="1"/>
  <c r="L274" i="11"/>
  <c r="L273" i="11"/>
  <c r="L272" i="11"/>
  <c r="D267" i="11"/>
  <c r="F267" i="11" s="1"/>
  <c r="L267" i="11"/>
  <c r="L266" i="11"/>
  <c r="D266" i="11"/>
  <c r="F266" i="11" s="1"/>
  <c r="K266" i="11" s="1"/>
  <c r="L265" i="11"/>
  <c r="D265" i="11"/>
  <c r="F265" i="11" s="1"/>
  <c r="D262" i="11"/>
  <c r="F262" i="11" s="1"/>
  <c r="D261" i="11"/>
  <c r="F261" i="11" s="1"/>
  <c r="I261" i="11" s="1"/>
  <c r="L262" i="11"/>
  <c r="L261" i="11"/>
  <c r="D256" i="11"/>
  <c r="F256" i="11" s="1"/>
  <c r="L256" i="11"/>
  <c r="D255" i="11"/>
  <c r="F255" i="11" s="1"/>
  <c r="D254" i="11"/>
  <c r="F254" i="11" s="1"/>
  <c r="I254" i="11" s="1"/>
  <c r="D249" i="11"/>
  <c r="F249" i="11" s="1"/>
  <c r="L249" i="11"/>
  <c r="L255" i="11"/>
  <c r="L254" i="11"/>
  <c r="L253" i="11"/>
  <c r="D253" i="11"/>
  <c r="F253" i="11" s="1"/>
  <c r="L252" i="11"/>
  <c r="D252" i="11"/>
  <c r="F252" i="11" s="1"/>
  <c r="D248" i="11"/>
  <c r="F248" i="11" s="1"/>
  <c r="I248" i="11" s="1"/>
  <c r="L248" i="11"/>
  <c r="D247" i="11"/>
  <c r="F247" i="11" s="1"/>
  <c r="D246" i="11"/>
  <c r="F246" i="11" s="1"/>
  <c r="I246" i="11" s="1"/>
  <c r="L247" i="11"/>
  <c r="L246" i="11"/>
  <c r="D245" i="11"/>
  <c r="F245" i="11" s="1"/>
  <c r="D244" i="11"/>
  <c r="F244" i="11" s="1"/>
  <c r="I244" i="11" s="1"/>
  <c r="L245" i="11"/>
  <c r="L244" i="11"/>
  <c r="D240" i="11"/>
  <c r="F240" i="11" s="1"/>
  <c r="D239" i="11"/>
  <c r="F239" i="11" s="1"/>
  <c r="I239" i="11" s="1"/>
  <c r="L240" i="11"/>
  <c r="L239" i="11"/>
  <c r="L238" i="11"/>
  <c r="D238" i="11"/>
  <c r="F238" i="11" s="1"/>
  <c r="L237" i="11"/>
  <c r="D237" i="11"/>
  <c r="F237" i="11" s="1"/>
  <c r="D234" i="11"/>
  <c r="F234" i="11" s="1"/>
  <c r="D233" i="11"/>
  <c r="F233" i="11" s="1"/>
  <c r="D232" i="11"/>
  <c r="F232" i="11" s="1"/>
  <c r="F231" i="11"/>
  <c r="I231" i="11" s="1"/>
  <c r="L234" i="11"/>
  <c r="L233" i="11"/>
  <c r="L232" i="11"/>
  <c r="L231" i="11"/>
  <c r="L230" i="11"/>
  <c r="D230" i="11"/>
  <c r="F230" i="11" s="1"/>
  <c r="L229" i="11"/>
  <c r="D229" i="11"/>
  <c r="F229" i="11" s="1"/>
  <c r="D226" i="11"/>
  <c r="F226" i="11" s="1"/>
  <c r="L226" i="11"/>
  <c r="F223" i="11"/>
  <c r="I223" i="11" s="1"/>
  <c r="D225" i="11"/>
  <c r="F225" i="11" s="1"/>
  <c r="D224" i="11"/>
  <c r="F224" i="11" s="1"/>
  <c r="L225" i="11"/>
  <c r="L224" i="11"/>
  <c r="L223" i="11"/>
  <c r="L222" i="11"/>
  <c r="D222" i="11"/>
  <c r="F222" i="11" s="1"/>
  <c r="L221" i="11"/>
  <c r="D221" i="11"/>
  <c r="F221" i="11" s="1"/>
  <c r="D218" i="11"/>
  <c r="F218" i="11" s="1"/>
  <c r="K218" i="11" s="1"/>
  <c r="L218" i="11"/>
  <c r="D215" i="11"/>
  <c r="F215" i="11" s="1"/>
  <c r="D214" i="11"/>
  <c r="F214" i="11" s="1"/>
  <c r="D213" i="11"/>
  <c r="D212" i="11" s="1"/>
  <c r="F212" i="11" s="1"/>
  <c r="I212" i="11" s="1"/>
  <c r="L213" i="11"/>
  <c r="L215" i="11"/>
  <c r="L214" i="11"/>
  <c r="L212" i="11"/>
  <c r="D210" i="11"/>
  <c r="F210" i="11" s="1"/>
  <c r="L211" i="11"/>
  <c r="D211" i="11"/>
  <c r="F211" i="11" s="1"/>
  <c r="L210" i="11"/>
  <c r="D207" i="11"/>
  <c r="F207" i="11" s="1"/>
  <c r="D206" i="11"/>
  <c r="F206" i="11" s="1"/>
  <c r="D205" i="11"/>
  <c r="F205" i="11" s="1"/>
  <c r="I205" i="11" s="1"/>
  <c r="L207" i="11"/>
  <c r="L206" i="11"/>
  <c r="L205" i="11"/>
  <c r="D200" i="11"/>
  <c r="F200" i="11" s="1"/>
  <c r="D199" i="11"/>
  <c r="F199" i="11" s="1"/>
  <c r="I199" i="11" s="1"/>
  <c r="L200" i="11"/>
  <c r="L199" i="11"/>
  <c r="L194" i="11"/>
  <c r="D194" i="11"/>
  <c r="F194" i="11" s="1"/>
  <c r="L193" i="11"/>
  <c r="D193" i="11"/>
  <c r="F193" i="11" s="1"/>
  <c r="K193" i="11" s="1"/>
  <c r="L192" i="11"/>
  <c r="D192" i="11"/>
  <c r="D191" i="11" s="1"/>
  <c r="L191" i="11"/>
  <c r="L190" i="11"/>
  <c r="D190" i="11"/>
  <c r="F190" i="11" s="1"/>
  <c r="L189" i="11"/>
  <c r="D189" i="11"/>
  <c r="F189" i="11" s="1"/>
  <c r="K189" i="11" s="1"/>
  <c r="D179" i="11"/>
  <c r="F179" i="11" s="1"/>
  <c r="D186" i="11"/>
  <c r="F186" i="11" s="1"/>
  <c r="D185" i="11"/>
  <c r="D184" i="11" s="1"/>
  <c r="F184" i="11" s="1"/>
  <c r="I184" i="11" s="1"/>
  <c r="L186" i="11"/>
  <c r="L185" i="11"/>
  <c r="L184" i="11"/>
  <c r="L183" i="11"/>
  <c r="D183" i="11"/>
  <c r="F183" i="11" s="1"/>
  <c r="L182" i="11"/>
  <c r="D182" i="11"/>
  <c r="F182" i="11" s="1"/>
  <c r="D178" i="11"/>
  <c r="D177" i="11" s="1"/>
  <c r="F177" i="11" s="1"/>
  <c r="I177" i="11" s="1"/>
  <c r="L179" i="11"/>
  <c r="L178" i="11"/>
  <c r="L177" i="11"/>
  <c r="D171" i="11"/>
  <c r="F171" i="11" s="1"/>
  <c r="D169" i="11"/>
  <c r="F169" i="11" s="1"/>
  <c r="I169" i="11" s="1"/>
  <c r="L169" i="11"/>
  <c r="D172" i="11"/>
  <c r="F172" i="11" s="1"/>
  <c r="D170" i="11"/>
  <c r="F170" i="11" s="1"/>
  <c r="I170" i="11" s="1"/>
  <c r="L172" i="11"/>
  <c r="L171" i="11"/>
  <c r="L170" i="11"/>
  <c r="L168" i="11"/>
  <c r="D168" i="11"/>
  <c r="F168" i="11" s="1"/>
  <c r="L167" i="11"/>
  <c r="D167" i="11"/>
  <c r="F167" i="11" s="1"/>
  <c r="D157" i="11"/>
  <c r="F157" i="11" s="1"/>
  <c r="D155" i="11"/>
  <c r="F155" i="11" s="1"/>
  <c r="L155" i="11"/>
  <c r="D149" i="11"/>
  <c r="F149" i="11" s="1"/>
  <c r="I149" i="11" s="1"/>
  <c r="L149" i="11"/>
  <c r="D158" i="11"/>
  <c r="F158" i="11" s="1"/>
  <c r="K158" i="11" s="1"/>
  <c r="D156" i="11"/>
  <c r="F156" i="11" s="1"/>
  <c r="L158" i="11"/>
  <c r="L157" i="11"/>
  <c r="L156" i="11"/>
  <c r="L154" i="11"/>
  <c r="D154" i="11"/>
  <c r="F154" i="11" s="1"/>
  <c r="L153" i="11"/>
  <c r="D153" i="11"/>
  <c r="F153" i="11" s="1"/>
  <c r="L148" i="11"/>
  <c r="L150" i="11"/>
  <c r="D150" i="11"/>
  <c r="F150" i="11" s="1"/>
  <c r="I150" i="11" s="1"/>
  <c r="D148" i="11"/>
  <c r="F148" i="11" s="1"/>
  <c r="I148" i="11" s="1"/>
  <c r="D147" i="11"/>
  <c r="F147" i="11" s="1"/>
  <c r="K147" i="11" s="1"/>
  <c r="L147" i="11"/>
  <c r="L347" i="11"/>
  <c r="D347" i="11"/>
  <c r="F347" i="11" s="1"/>
  <c r="L346" i="11"/>
  <c r="D346" i="11"/>
  <c r="F346" i="11" s="1"/>
  <c r="L332" i="11"/>
  <c r="D332" i="11"/>
  <c r="L331" i="11"/>
  <c r="D331" i="11"/>
  <c r="F331" i="11" s="1"/>
  <c r="L260" i="11"/>
  <c r="D260" i="11"/>
  <c r="F260" i="11" s="1"/>
  <c r="L259" i="11"/>
  <c r="D259" i="11"/>
  <c r="F259" i="11" s="1"/>
  <c r="L176" i="11"/>
  <c r="D176" i="11"/>
  <c r="F176" i="11" s="1"/>
  <c r="L175" i="11"/>
  <c r="D175" i="11"/>
  <c r="F175" i="11" s="1"/>
  <c r="D145" i="11"/>
  <c r="F145" i="11" s="1"/>
  <c r="L146" i="11"/>
  <c r="D146" i="11"/>
  <c r="F146" i="11" s="1"/>
  <c r="L145" i="11"/>
  <c r="L140" i="11"/>
  <c r="L141" i="11"/>
  <c r="L142" i="11"/>
  <c r="D142" i="11"/>
  <c r="F142" i="11" s="1"/>
  <c r="D141" i="11"/>
  <c r="F141" i="11" s="1"/>
  <c r="I141" i="11" s="1"/>
  <c r="D140" i="11"/>
  <c r="F140" i="11" s="1"/>
  <c r="I140" i="11" s="1"/>
  <c r="D128" i="11"/>
  <c r="F128" i="11" s="1"/>
  <c r="I128" i="11" s="1"/>
  <c r="F127" i="11"/>
  <c r="I127" i="11" s="1"/>
  <c r="L127" i="11"/>
  <c r="L128" i="11"/>
  <c r="L135" i="11"/>
  <c r="D135" i="11"/>
  <c r="F135" i="11" s="1"/>
  <c r="D164" i="11"/>
  <c r="F164" i="11" s="1"/>
  <c r="D163" i="11"/>
  <c r="F163" i="11" s="1"/>
  <c r="I163" i="11" s="1"/>
  <c r="L164" i="11"/>
  <c r="L163" i="11"/>
  <c r="L134" i="11"/>
  <c r="D134" i="11"/>
  <c r="F134" i="11" s="1"/>
  <c r="I134" i="11" s="1"/>
  <c r="L133" i="11"/>
  <c r="D133" i="11"/>
  <c r="F133" i="11" s="1"/>
  <c r="L339" i="11"/>
  <c r="D339" i="11"/>
  <c r="F339" i="11" s="1"/>
  <c r="L338" i="11"/>
  <c r="D338" i="11"/>
  <c r="F338" i="11" s="1"/>
  <c r="L278" i="11"/>
  <c r="D278" i="11"/>
  <c r="F278" i="11" s="1"/>
  <c r="L277" i="11"/>
  <c r="D277" i="11"/>
  <c r="F277" i="11" s="1"/>
  <c r="L271" i="11"/>
  <c r="D271" i="11"/>
  <c r="F271" i="11" s="1"/>
  <c r="L270" i="11"/>
  <c r="D270" i="11"/>
  <c r="F270" i="11" s="1"/>
  <c r="L204" i="11"/>
  <c r="D204" i="11"/>
  <c r="F204" i="11" s="1"/>
  <c r="L203" i="11"/>
  <c r="D203" i="11"/>
  <c r="F203" i="11" s="1"/>
  <c r="L198" i="11"/>
  <c r="D198" i="11"/>
  <c r="F198" i="11" s="1"/>
  <c r="K198" i="11" s="1"/>
  <c r="L197" i="11"/>
  <c r="D197" i="11"/>
  <c r="F197" i="11" s="1"/>
  <c r="L162" i="11"/>
  <c r="D162" i="11"/>
  <c r="F162" i="11" s="1"/>
  <c r="L161" i="11"/>
  <c r="D161" i="11"/>
  <c r="F161" i="11" s="1"/>
  <c r="L139" i="11"/>
  <c r="D139" i="11"/>
  <c r="F139" i="11" s="1"/>
  <c r="K139" i="11" s="1"/>
  <c r="L138" i="11"/>
  <c r="D138" i="11"/>
  <c r="F138" i="11" s="1"/>
  <c r="D131" i="11"/>
  <c r="F332" i="11" l="1"/>
  <c r="K332" i="11" s="1"/>
  <c r="F355" i="11"/>
  <c r="F354" i="11"/>
  <c r="F353" i="11"/>
  <c r="K156" i="11"/>
  <c r="I156" i="11"/>
  <c r="K155" i="11"/>
  <c r="I155" i="11"/>
  <c r="M111" i="11"/>
  <c r="K92" i="11"/>
  <c r="I92" i="11"/>
  <c r="M106" i="11"/>
  <c r="I106" i="11"/>
  <c r="K111" i="11"/>
  <c r="I100" i="11"/>
  <c r="K100" i="11"/>
  <c r="I99" i="11"/>
  <c r="K99" i="11"/>
  <c r="I97" i="11"/>
  <c r="K97" i="11"/>
  <c r="M100" i="11"/>
  <c r="K106" i="11"/>
  <c r="I102" i="11"/>
  <c r="K102" i="11"/>
  <c r="K109" i="11"/>
  <c r="K108" i="11"/>
  <c r="M109" i="11"/>
  <c r="M108" i="11"/>
  <c r="M92" i="11"/>
  <c r="D348" i="11"/>
  <c r="F348" i="11" s="1"/>
  <c r="I84" i="11"/>
  <c r="K84" i="11"/>
  <c r="K91" i="11"/>
  <c r="M91" i="11"/>
  <c r="M343" i="11"/>
  <c r="D340" i="11"/>
  <c r="F340" i="11" s="1"/>
  <c r="I340" i="11" s="1"/>
  <c r="K350" i="11"/>
  <c r="I350" i="11"/>
  <c r="M350" i="11"/>
  <c r="K349" i="11"/>
  <c r="K351" i="11"/>
  <c r="I351" i="11"/>
  <c r="M349" i="11"/>
  <c r="M351" i="11"/>
  <c r="I343" i="11"/>
  <c r="K343" i="11"/>
  <c r="K342" i="11"/>
  <c r="I342" i="11"/>
  <c r="M342" i="11"/>
  <c r="F341" i="11"/>
  <c r="I341" i="11" s="1"/>
  <c r="I335" i="11"/>
  <c r="M335" i="11"/>
  <c r="K335" i="11"/>
  <c r="K333" i="11"/>
  <c r="M333" i="11"/>
  <c r="M334" i="11"/>
  <c r="I334" i="11"/>
  <c r="K326" i="11"/>
  <c r="K328" i="11"/>
  <c r="I328" i="11"/>
  <c r="M326" i="11"/>
  <c r="M328" i="11"/>
  <c r="K327" i="11"/>
  <c r="I327" i="11"/>
  <c r="M327" i="11"/>
  <c r="I323" i="11"/>
  <c r="M323" i="11"/>
  <c r="K320" i="11"/>
  <c r="K322" i="11"/>
  <c r="I322" i="11"/>
  <c r="M320" i="11"/>
  <c r="M322" i="11"/>
  <c r="K321" i="11"/>
  <c r="I321" i="11"/>
  <c r="M321" i="11"/>
  <c r="K309" i="11"/>
  <c r="I309" i="11"/>
  <c r="M309" i="11"/>
  <c r="K307" i="11"/>
  <c r="M307" i="11"/>
  <c r="K308" i="11"/>
  <c r="I308" i="11"/>
  <c r="M308" i="11"/>
  <c r="M315" i="11"/>
  <c r="K314" i="11"/>
  <c r="M314" i="11"/>
  <c r="K315" i="11"/>
  <c r="I315" i="11"/>
  <c r="K300" i="11"/>
  <c r="K302" i="11"/>
  <c r="I302" i="11"/>
  <c r="M300" i="11"/>
  <c r="M302" i="11"/>
  <c r="F301" i="11"/>
  <c r="I301" i="11" s="1"/>
  <c r="D279" i="11"/>
  <c r="F279" i="11" s="1"/>
  <c r="K294" i="11"/>
  <c r="K295" i="11"/>
  <c r="I295" i="11"/>
  <c r="M294" i="11"/>
  <c r="M295" i="11"/>
  <c r="K318" i="11"/>
  <c r="I318" i="11"/>
  <c r="M318" i="11"/>
  <c r="K319" i="11"/>
  <c r="I319" i="11"/>
  <c r="M319" i="11"/>
  <c r="K312" i="11"/>
  <c r="I312" i="11"/>
  <c r="M312" i="11"/>
  <c r="K313" i="11"/>
  <c r="I313" i="11"/>
  <c r="M313" i="11"/>
  <c r="I305" i="11"/>
  <c r="K305" i="11"/>
  <c r="M305" i="11"/>
  <c r="M306" i="11"/>
  <c r="I306" i="11"/>
  <c r="K298" i="11"/>
  <c r="I298" i="11"/>
  <c r="M298" i="11"/>
  <c r="K299" i="11"/>
  <c r="I299" i="11"/>
  <c r="M299" i="11"/>
  <c r="K292" i="11"/>
  <c r="I292" i="11"/>
  <c r="K293" i="11"/>
  <c r="I293" i="11"/>
  <c r="M292" i="11"/>
  <c r="M293" i="11"/>
  <c r="M289" i="11"/>
  <c r="I289" i="11"/>
  <c r="K289" i="11"/>
  <c r="M286" i="11"/>
  <c r="K288" i="11"/>
  <c r="I288" i="11"/>
  <c r="M288" i="11"/>
  <c r="K286" i="11"/>
  <c r="F287" i="11"/>
  <c r="I287" i="11" s="1"/>
  <c r="K284" i="11"/>
  <c r="I284" i="11"/>
  <c r="M284" i="11"/>
  <c r="K285" i="11"/>
  <c r="I285" i="11"/>
  <c r="M285" i="11"/>
  <c r="M280" i="11"/>
  <c r="K280" i="11"/>
  <c r="K281" i="11"/>
  <c r="I281" i="11"/>
  <c r="M281" i="11"/>
  <c r="K272" i="11"/>
  <c r="K274" i="11"/>
  <c r="I274" i="11"/>
  <c r="M272" i="11"/>
  <c r="M274" i="11"/>
  <c r="K273" i="11"/>
  <c r="I273" i="11"/>
  <c r="M273" i="11"/>
  <c r="M267" i="11"/>
  <c r="M248" i="11"/>
  <c r="I265" i="11"/>
  <c r="K265" i="11"/>
  <c r="M265" i="11"/>
  <c r="I267" i="11"/>
  <c r="K267" i="11"/>
  <c r="M266" i="11"/>
  <c r="I266" i="11"/>
  <c r="M262" i="11"/>
  <c r="K261" i="11"/>
  <c r="M261" i="11"/>
  <c r="K262" i="11"/>
  <c r="I262" i="11"/>
  <c r="M256" i="11"/>
  <c r="K256" i="11"/>
  <c r="I256" i="11"/>
  <c r="K248" i="11"/>
  <c r="M249" i="11"/>
  <c r="I249" i="11"/>
  <c r="K249" i="11"/>
  <c r="K252" i="11"/>
  <c r="I252" i="11"/>
  <c r="K254" i="11"/>
  <c r="M252" i="11"/>
  <c r="M254" i="11"/>
  <c r="K253" i="11"/>
  <c r="I253" i="11"/>
  <c r="K255" i="11"/>
  <c r="I255" i="11"/>
  <c r="M253" i="11"/>
  <c r="M255" i="11"/>
  <c r="K246" i="11"/>
  <c r="M246" i="11"/>
  <c r="K247" i="11"/>
  <c r="I247" i="11"/>
  <c r="M247" i="11"/>
  <c r="I245" i="11"/>
  <c r="M245" i="11"/>
  <c r="M244" i="11"/>
  <c r="K244" i="11"/>
  <c r="K245" i="11"/>
  <c r="F213" i="11"/>
  <c r="K237" i="11"/>
  <c r="I237" i="11"/>
  <c r="K239" i="11"/>
  <c r="M237" i="11"/>
  <c r="M239" i="11"/>
  <c r="K238" i="11"/>
  <c r="I238" i="11"/>
  <c r="K240" i="11"/>
  <c r="I240" i="11"/>
  <c r="M238" i="11"/>
  <c r="M240" i="11"/>
  <c r="M226" i="11"/>
  <c r="I226" i="11"/>
  <c r="M222" i="11"/>
  <c r="M234" i="11"/>
  <c r="M232" i="11"/>
  <c r="K231" i="11"/>
  <c r="M233" i="11"/>
  <c r="K232" i="11"/>
  <c r="I232" i="11"/>
  <c r="K234" i="11"/>
  <c r="I234" i="11"/>
  <c r="K233" i="11"/>
  <c r="I233" i="11"/>
  <c r="M231" i="11"/>
  <c r="K229" i="11"/>
  <c r="I229" i="11"/>
  <c r="M229" i="11"/>
  <c r="K230" i="11"/>
  <c r="I230" i="11"/>
  <c r="M230" i="11"/>
  <c r="K226" i="11"/>
  <c r="K223" i="11"/>
  <c r="K225" i="11"/>
  <c r="I225" i="11"/>
  <c r="M223" i="11"/>
  <c r="M225" i="11"/>
  <c r="K224" i="11"/>
  <c r="I224" i="11"/>
  <c r="M224" i="11"/>
  <c r="M221" i="11"/>
  <c r="K222" i="11"/>
  <c r="I222" i="11"/>
  <c r="K221" i="11"/>
  <c r="I221" i="11"/>
  <c r="M218" i="11"/>
  <c r="I218" i="11"/>
  <c r="K214" i="11"/>
  <c r="I214" i="11"/>
  <c r="M214" i="11"/>
  <c r="K212" i="11"/>
  <c r="K215" i="11"/>
  <c r="I215" i="11"/>
  <c r="M212" i="11"/>
  <c r="M215" i="11"/>
  <c r="K211" i="11"/>
  <c r="I211" i="11"/>
  <c r="M211" i="11"/>
  <c r="K210" i="11"/>
  <c r="I210" i="11"/>
  <c r="M210" i="11"/>
  <c r="M207" i="11"/>
  <c r="K205" i="11"/>
  <c r="M205" i="11"/>
  <c r="M206" i="11"/>
  <c r="I207" i="11"/>
  <c r="K207" i="11"/>
  <c r="K206" i="11"/>
  <c r="I206" i="11"/>
  <c r="K199" i="11"/>
  <c r="K200" i="11"/>
  <c r="I200" i="11"/>
  <c r="M199" i="11"/>
  <c r="M200" i="11"/>
  <c r="K194" i="11"/>
  <c r="I194" i="11"/>
  <c r="M194" i="11"/>
  <c r="F191" i="11"/>
  <c r="I190" i="11"/>
  <c r="K190" i="11"/>
  <c r="M190" i="11"/>
  <c r="M189" i="11"/>
  <c r="M193" i="11"/>
  <c r="I189" i="11"/>
  <c r="I193" i="11"/>
  <c r="F192" i="11"/>
  <c r="I192" i="11" s="1"/>
  <c r="K184" i="11"/>
  <c r="K186" i="11"/>
  <c r="I186" i="11"/>
  <c r="M184" i="11"/>
  <c r="M186" i="11"/>
  <c r="F185" i="11"/>
  <c r="I185" i="11" s="1"/>
  <c r="K182" i="11"/>
  <c r="I182" i="11"/>
  <c r="M182" i="11"/>
  <c r="K183" i="11"/>
  <c r="I183" i="11"/>
  <c r="M183" i="11"/>
  <c r="M150" i="11"/>
  <c r="F178" i="11"/>
  <c r="K177" i="11"/>
  <c r="K179" i="11"/>
  <c r="I179" i="11"/>
  <c r="M177" i="11"/>
  <c r="M179" i="11"/>
  <c r="K169" i="11"/>
  <c r="M169" i="11"/>
  <c r="K171" i="11"/>
  <c r="I171" i="11"/>
  <c r="M171" i="11"/>
  <c r="K170" i="11"/>
  <c r="K172" i="11"/>
  <c r="I172" i="11"/>
  <c r="M170" i="11"/>
  <c r="M172" i="11"/>
  <c r="K167" i="11"/>
  <c r="I167" i="11"/>
  <c r="I168" i="11"/>
  <c r="K168" i="11"/>
  <c r="M167" i="11"/>
  <c r="M168" i="11"/>
  <c r="M149" i="11"/>
  <c r="M155" i="11"/>
  <c r="K149" i="11"/>
  <c r="I157" i="11"/>
  <c r="K157" i="11"/>
  <c r="M157" i="11"/>
  <c r="M156" i="11"/>
  <c r="M158" i="11"/>
  <c r="I158" i="11"/>
  <c r="M127" i="11"/>
  <c r="I142" i="11"/>
  <c r="M142" i="11"/>
  <c r="M148" i="11"/>
  <c r="K150" i="11"/>
  <c r="K148" i="11"/>
  <c r="K154" i="11"/>
  <c r="I154" i="11"/>
  <c r="M154" i="11"/>
  <c r="K153" i="11"/>
  <c r="I153" i="11"/>
  <c r="M153" i="11"/>
  <c r="M147" i="11"/>
  <c r="I147" i="11"/>
  <c r="M140" i="11"/>
  <c r="M141" i="11"/>
  <c r="K142" i="11"/>
  <c r="K141" i="11"/>
  <c r="K346" i="11"/>
  <c r="I346" i="11"/>
  <c r="M346" i="11"/>
  <c r="K347" i="11"/>
  <c r="I347" i="11"/>
  <c r="M347" i="11"/>
  <c r="K331" i="11"/>
  <c r="I331" i="11"/>
  <c r="M331" i="11"/>
  <c r="K260" i="11"/>
  <c r="I260" i="11"/>
  <c r="M260" i="11"/>
  <c r="K259" i="11"/>
  <c r="I259" i="11"/>
  <c r="M259" i="11"/>
  <c r="M175" i="11"/>
  <c r="K176" i="11"/>
  <c r="I176" i="11"/>
  <c r="M176" i="11"/>
  <c r="K175" i="11"/>
  <c r="I175" i="11"/>
  <c r="K145" i="11"/>
  <c r="I145" i="11"/>
  <c r="M145" i="11"/>
  <c r="K146" i="11"/>
  <c r="I146" i="11"/>
  <c r="M146" i="11"/>
  <c r="K140" i="11"/>
  <c r="K128" i="11"/>
  <c r="I135" i="11"/>
  <c r="K135" i="11"/>
  <c r="I133" i="11"/>
  <c r="K133" i="11"/>
  <c r="M135" i="11"/>
  <c r="M133" i="11"/>
  <c r="M134" i="11"/>
  <c r="M204" i="11"/>
  <c r="M128" i="11"/>
  <c r="K127" i="11"/>
  <c r="M163" i="11"/>
  <c r="K164" i="11"/>
  <c r="I164" i="11"/>
  <c r="K163" i="11"/>
  <c r="M164" i="11"/>
  <c r="K134" i="11"/>
  <c r="K338" i="11"/>
  <c r="I338" i="11"/>
  <c r="M338" i="11"/>
  <c r="K339" i="11"/>
  <c r="I339" i="11"/>
  <c r="M339" i="11"/>
  <c r="K277" i="11"/>
  <c r="I277" i="11"/>
  <c r="M277" i="11"/>
  <c r="K278" i="11"/>
  <c r="I278" i="11"/>
  <c r="M278" i="11"/>
  <c r="K270" i="11"/>
  <c r="I270" i="11"/>
  <c r="M270" i="11"/>
  <c r="K271" i="11"/>
  <c r="I271" i="11"/>
  <c r="M271" i="11"/>
  <c r="M197" i="11"/>
  <c r="K203" i="11"/>
  <c r="I203" i="11"/>
  <c r="M203" i="11"/>
  <c r="K204" i="11"/>
  <c r="I204" i="11"/>
  <c r="I197" i="11"/>
  <c r="K197" i="11"/>
  <c r="M198" i="11"/>
  <c r="I198" i="11"/>
  <c r="K161" i="11"/>
  <c r="I161" i="11"/>
  <c r="M161" i="11"/>
  <c r="K162" i="11"/>
  <c r="I162" i="11"/>
  <c r="M162" i="11"/>
  <c r="I138" i="11"/>
  <c r="K138" i="11"/>
  <c r="M138" i="11"/>
  <c r="M139" i="11"/>
  <c r="I139" i="11"/>
  <c r="F131" i="11"/>
  <c r="I131" i="11" s="1"/>
  <c r="L131" i="11"/>
  <c r="L132" i="11"/>
  <c r="D132" i="11"/>
  <c r="F132" i="11" s="1"/>
  <c r="L413" i="11"/>
  <c r="F413" i="11"/>
  <c r="I413" i="11" s="1"/>
  <c r="L410" i="11"/>
  <c r="D410" i="11"/>
  <c r="F410" i="11" s="1"/>
  <c r="F391" i="11"/>
  <c r="I391" i="11" s="1"/>
  <c r="L391" i="11"/>
  <c r="L430" i="11"/>
  <c r="F430" i="11"/>
  <c r="K430" i="11" s="1"/>
  <c r="L439" i="11"/>
  <c r="F439" i="11"/>
  <c r="I439" i="11" s="1"/>
  <c r="L438" i="11"/>
  <c r="F438" i="11"/>
  <c r="I438" i="11" s="1"/>
  <c r="L437" i="11"/>
  <c r="F437" i="11"/>
  <c r="K437" i="11" s="1"/>
  <c r="L436" i="11"/>
  <c r="F436" i="11"/>
  <c r="K436" i="11" s="1"/>
  <c r="L435" i="11"/>
  <c r="F435" i="11"/>
  <c r="I435" i="11" s="1"/>
  <c r="L434" i="11"/>
  <c r="F434" i="11"/>
  <c r="I434" i="11" s="1"/>
  <c r="L433" i="11"/>
  <c r="F433" i="11"/>
  <c r="K433" i="11" s="1"/>
  <c r="L432" i="11"/>
  <c r="F432" i="11"/>
  <c r="L392" i="11"/>
  <c r="F392" i="11"/>
  <c r="I392" i="11" s="1"/>
  <c r="L362" i="11"/>
  <c r="F362" i="11"/>
  <c r="L361" i="11"/>
  <c r="F361" i="11"/>
  <c r="L378" i="11"/>
  <c r="F378" i="11"/>
  <c r="L365" i="11"/>
  <c r="F365" i="11"/>
  <c r="L377" i="11"/>
  <c r="F377" i="11"/>
  <c r="K377" i="11" s="1"/>
  <c r="L360" i="11"/>
  <c r="F360" i="11"/>
  <c r="L374" i="11"/>
  <c r="F374" i="11"/>
  <c r="L373" i="11"/>
  <c r="F373" i="11"/>
  <c r="K373" i="11" s="1"/>
  <c r="L366" i="11"/>
  <c r="F366" i="11"/>
  <c r="K366" i="11" s="1"/>
  <c r="L359" i="11"/>
  <c r="F359" i="11"/>
  <c r="L337" i="11"/>
  <c r="F337" i="11"/>
  <c r="K337" i="11" s="1"/>
  <c r="L75" i="11"/>
  <c r="F75" i="11"/>
  <c r="K75" i="11" s="1"/>
  <c r="L74" i="11"/>
  <c r="F74" i="11"/>
  <c r="I74" i="11" s="1"/>
  <c r="L73" i="11"/>
  <c r="F73" i="11"/>
  <c r="L72" i="11"/>
  <c r="F72" i="11"/>
  <c r="K72" i="11" s="1"/>
  <c r="L71" i="11"/>
  <c r="F71" i="11"/>
  <c r="K71" i="11" s="1"/>
  <c r="L70" i="11"/>
  <c r="F70" i="11"/>
  <c r="I70" i="11" s="1"/>
  <c r="L69" i="11"/>
  <c r="F69" i="11"/>
  <c r="L68" i="11"/>
  <c r="F68" i="11"/>
  <c r="K68" i="11" s="1"/>
  <c r="L67" i="11"/>
  <c r="F67" i="11"/>
  <c r="K67" i="11" s="1"/>
  <c r="L66" i="11"/>
  <c r="F66" i="11"/>
  <c r="I66" i="11" s="1"/>
  <c r="L65" i="11"/>
  <c r="F65" i="11"/>
  <c r="L64" i="11"/>
  <c r="F64" i="11"/>
  <c r="K64" i="11" s="1"/>
  <c r="L63" i="11"/>
  <c r="F63" i="11"/>
  <c r="K63" i="11" s="1"/>
  <c r="L62" i="11"/>
  <c r="F62" i="11"/>
  <c r="I62" i="11" s="1"/>
  <c r="L458" i="11"/>
  <c r="F458" i="11"/>
  <c r="L450" i="11"/>
  <c r="F450" i="11"/>
  <c r="L120" i="11"/>
  <c r="F120" i="11"/>
  <c r="I120" i="11" s="1"/>
  <c r="L119" i="11"/>
  <c r="F119" i="11"/>
  <c r="I119" i="11" s="1"/>
  <c r="L118" i="11"/>
  <c r="F118" i="11"/>
  <c r="L117" i="11"/>
  <c r="F117" i="11"/>
  <c r="I117" i="11" s="1"/>
  <c r="L427" i="11"/>
  <c r="F427" i="11"/>
  <c r="L424" i="11"/>
  <c r="F424" i="11"/>
  <c r="L423" i="11"/>
  <c r="F423" i="11"/>
  <c r="K423" i="11" s="1"/>
  <c r="L420" i="11"/>
  <c r="F420" i="11"/>
  <c r="K420" i="11" s="1"/>
  <c r="L406" i="11"/>
  <c r="F406" i="11"/>
  <c r="L403" i="11"/>
  <c r="F403" i="11"/>
  <c r="L400" i="11"/>
  <c r="F400" i="11"/>
  <c r="L416" i="11"/>
  <c r="F416" i="11"/>
  <c r="L397" i="11"/>
  <c r="F397" i="11"/>
  <c r="I397" i="11" s="1"/>
  <c r="L396" i="11"/>
  <c r="F396" i="11"/>
  <c r="L395" i="11"/>
  <c r="F395" i="11"/>
  <c r="K395" i="11" s="1"/>
  <c r="L390" i="11"/>
  <c r="F390" i="11"/>
  <c r="I390" i="11" s="1"/>
  <c r="L389" i="11"/>
  <c r="F389" i="11"/>
  <c r="I389" i="11" s="1"/>
  <c r="L388" i="11"/>
  <c r="F388" i="11"/>
  <c r="K388" i="11" s="1"/>
  <c r="L385" i="11"/>
  <c r="F385" i="11"/>
  <c r="K385" i="11" s="1"/>
  <c r="L407" i="11"/>
  <c r="F407" i="11"/>
  <c r="I407" i="11" s="1"/>
  <c r="L370" i="11"/>
  <c r="F370" i="11"/>
  <c r="L367" i="11"/>
  <c r="F367" i="11"/>
  <c r="L382" i="11"/>
  <c r="F382" i="11"/>
  <c r="I382" i="11" s="1"/>
  <c r="L381" i="11"/>
  <c r="F381" i="11"/>
  <c r="I381" i="11" s="1"/>
  <c r="L369" i="11"/>
  <c r="F369" i="11"/>
  <c r="K369" i="11" s="1"/>
  <c r="L368" i="11"/>
  <c r="F368" i="11"/>
  <c r="K368" i="11" s="1"/>
  <c r="L41" i="11"/>
  <c r="F41" i="11"/>
  <c r="K41" i="11" s="1"/>
  <c r="L40" i="11"/>
  <c r="F40" i="11"/>
  <c r="L39" i="11"/>
  <c r="F39" i="11"/>
  <c r="L38" i="11"/>
  <c r="F38" i="11"/>
  <c r="L37" i="11"/>
  <c r="F37" i="11"/>
  <c r="K37" i="11" s="1"/>
  <c r="L36" i="11"/>
  <c r="F36" i="11"/>
  <c r="L35" i="11"/>
  <c r="F35" i="11"/>
  <c r="L34" i="11"/>
  <c r="F34" i="11"/>
  <c r="L33" i="11"/>
  <c r="F33" i="11"/>
  <c r="K33" i="11" s="1"/>
  <c r="L32" i="11"/>
  <c r="F32" i="11"/>
  <c r="K32" i="11" s="1"/>
  <c r="L31" i="11"/>
  <c r="F31" i="11"/>
  <c r="L30" i="11"/>
  <c r="F30" i="11"/>
  <c r="I30" i="11" s="1"/>
  <c r="L29" i="11"/>
  <c r="F29" i="11"/>
  <c r="K29" i="11" s="1"/>
  <c r="L28" i="11"/>
  <c r="F28" i="11"/>
  <c r="K28" i="11" s="1"/>
  <c r="L27" i="11"/>
  <c r="F27" i="11"/>
  <c r="I27" i="11" s="1"/>
  <c r="L26" i="11"/>
  <c r="F26" i="11"/>
  <c r="L57" i="11"/>
  <c r="F57" i="11"/>
  <c r="K57" i="11" s="1"/>
  <c r="L56" i="11"/>
  <c r="F56" i="11"/>
  <c r="K56" i="11" s="1"/>
  <c r="L55" i="11"/>
  <c r="F55" i="11"/>
  <c r="I55" i="11" s="1"/>
  <c r="L54" i="11"/>
  <c r="F54" i="11"/>
  <c r="K54" i="11" s="1"/>
  <c r="L53" i="11"/>
  <c r="F53" i="11"/>
  <c r="K53" i="11" s="1"/>
  <c r="L52" i="11"/>
  <c r="F52" i="11"/>
  <c r="K52" i="11" s="1"/>
  <c r="L51" i="11"/>
  <c r="F51" i="11"/>
  <c r="I51" i="11" s="1"/>
  <c r="L50" i="11"/>
  <c r="F50" i="11"/>
  <c r="K50" i="11" s="1"/>
  <c r="L49" i="11"/>
  <c r="F49" i="11"/>
  <c r="K49" i="11" s="1"/>
  <c r="L48" i="11"/>
  <c r="F48" i="11"/>
  <c r="I48" i="11" s="1"/>
  <c r="L47" i="11"/>
  <c r="F47" i="11"/>
  <c r="L46" i="11"/>
  <c r="F46" i="11"/>
  <c r="K46" i="11" s="1"/>
  <c r="L45" i="11"/>
  <c r="F45" i="11"/>
  <c r="K45" i="11" s="1"/>
  <c r="L44" i="11"/>
  <c r="F44" i="11"/>
  <c r="I44" i="11" s="1"/>
  <c r="L43" i="11"/>
  <c r="F43" i="11"/>
  <c r="I43" i="11" s="1"/>
  <c r="L42" i="11"/>
  <c r="F42" i="11"/>
  <c r="K42" i="11" s="1"/>
  <c r="L61" i="11"/>
  <c r="F61" i="11"/>
  <c r="K61" i="11" s="1"/>
  <c r="L60" i="11"/>
  <c r="F60" i="11"/>
  <c r="I60" i="11" s="1"/>
  <c r="L59" i="11"/>
  <c r="F59" i="11"/>
  <c r="K59" i="11" s="1"/>
  <c r="L58" i="11"/>
  <c r="F58" i="11"/>
  <c r="K58" i="11" s="1"/>
  <c r="L442" i="11"/>
  <c r="F442" i="11"/>
  <c r="L441" i="11"/>
  <c r="F441" i="11"/>
  <c r="K441" i="11" s="1"/>
  <c r="L440" i="11"/>
  <c r="F440" i="11"/>
  <c r="I440" i="11" s="1"/>
  <c r="L431" i="11"/>
  <c r="F431" i="11"/>
  <c r="L445" i="11"/>
  <c r="F445" i="11"/>
  <c r="I445" i="11" s="1"/>
  <c r="L444" i="11"/>
  <c r="F444" i="11"/>
  <c r="K444" i="11" s="1"/>
  <c r="L443" i="11"/>
  <c r="F443" i="11"/>
  <c r="K443" i="11" s="1"/>
  <c r="L468" i="11"/>
  <c r="F468" i="11"/>
  <c r="I468" i="11" s="1"/>
  <c r="L467" i="11"/>
  <c r="F467" i="11"/>
  <c r="K467" i="11" s="1"/>
  <c r="L472" i="11"/>
  <c r="F472" i="11"/>
  <c r="L471" i="11"/>
  <c r="F471" i="11"/>
  <c r="L470" i="11"/>
  <c r="F470" i="11"/>
  <c r="L469" i="11"/>
  <c r="F469" i="11"/>
  <c r="F473" i="11"/>
  <c r="L473" i="11"/>
  <c r="F474" i="11"/>
  <c r="L474" i="11"/>
  <c r="F475" i="11"/>
  <c r="L475" i="11"/>
  <c r="F476" i="11"/>
  <c r="L476" i="11"/>
  <c r="K424" i="11" l="1"/>
  <c r="I424" i="11"/>
  <c r="K476" i="11"/>
  <c r="I476" i="11"/>
  <c r="K474" i="11"/>
  <c r="I474" i="11"/>
  <c r="K470" i="11"/>
  <c r="I470" i="11"/>
  <c r="I472" i="11"/>
  <c r="K472" i="11"/>
  <c r="K374" i="11"/>
  <c r="I374" i="11"/>
  <c r="K362" i="11"/>
  <c r="I362" i="11"/>
  <c r="K475" i="11"/>
  <c r="I475" i="11"/>
  <c r="I473" i="11"/>
  <c r="K473" i="11"/>
  <c r="K469" i="11"/>
  <c r="I469" i="11"/>
  <c r="I471" i="11"/>
  <c r="K471" i="11"/>
  <c r="K365" i="11"/>
  <c r="I365" i="11"/>
  <c r="M332" i="11"/>
  <c r="N78" i="11"/>
  <c r="K431" i="11"/>
  <c r="I431" i="11"/>
  <c r="K432" i="11"/>
  <c r="I432" i="11"/>
  <c r="K458" i="11"/>
  <c r="I458" i="11"/>
  <c r="K355" i="11"/>
  <c r="I355" i="11"/>
  <c r="M355" i="11"/>
  <c r="I332" i="11"/>
  <c r="K353" i="11"/>
  <c r="M353" i="11"/>
  <c r="I353" i="11"/>
  <c r="K354" i="11"/>
  <c r="M354" i="11"/>
  <c r="I354" i="11"/>
  <c r="M178" i="11"/>
  <c r="I178" i="11"/>
  <c r="K213" i="11"/>
  <c r="I213" i="11"/>
  <c r="M279" i="11"/>
  <c r="I279" i="11"/>
  <c r="K191" i="11"/>
  <c r="I191" i="11"/>
  <c r="K348" i="11"/>
  <c r="I348" i="11"/>
  <c r="M348" i="11"/>
  <c r="K340" i="11"/>
  <c r="M340" i="11"/>
  <c r="K341" i="11"/>
  <c r="M341" i="11"/>
  <c r="K301" i="11"/>
  <c r="M301" i="11"/>
  <c r="K279" i="11"/>
  <c r="K287" i="11"/>
  <c r="M287" i="11"/>
  <c r="M213" i="11"/>
  <c r="M191" i="11"/>
  <c r="K192" i="11"/>
  <c r="M192" i="11"/>
  <c r="K185" i="11"/>
  <c r="M185" i="11"/>
  <c r="K178" i="11"/>
  <c r="K131" i="11"/>
  <c r="M131" i="11"/>
  <c r="I132" i="11"/>
  <c r="K132" i="11"/>
  <c r="M132" i="11"/>
  <c r="K413" i="11"/>
  <c r="M413" i="11"/>
  <c r="I410" i="11"/>
  <c r="K410" i="11"/>
  <c r="M410" i="11"/>
  <c r="M391" i="11"/>
  <c r="K391" i="11"/>
  <c r="M442" i="11"/>
  <c r="M389" i="11"/>
  <c r="M63" i="11"/>
  <c r="M67" i="11"/>
  <c r="M71" i="11"/>
  <c r="M75" i="11"/>
  <c r="M361" i="11"/>
  <c r="M427" i="11"/>
  <c r="M430" i="11"/>
  <c r="K44" i="11"/>
  <c r="I430" i="11"/>
  <c r="M34" i="11"/>
  <c r="M36" i="11"/>
  <c r="M38" i="11"/>
  <c r="M40" i="11"/>
  <c r="I367" i="11"/>
  <c r="K367" i="11"/>
  <c r="M432" i="11"/>
  <c r="M434" i="11"/>
  <c r="M51" i="11"/>
  <c r="M31" i="11"/>
  <c r="M35" i="11"/>
  <c r="M39" i="11"/>
  <c r="K382" i="11"/>
  <c r="M388" i="11"/>
  <c r="M396" i="11"/>
  <c r="M119" i="11"/>
  <c r="M458" i="11"/>
  <c r="M64" i="11"/>
  <c r="M68" i="11"/>
  <c r="M72" i="11"/>
  <c r="M337" i="11"/>
  <c r="M382" i="11"/>
  <c r="M370" i="11"/>
  <c r="I385" i="11"/>
  <c r="M369" i="11"/>
  <c r="M400" i="11"/>
  <c r="M406" i="11"/>
  <c r="M373" i="11"/>
  <c r="M365" i="11"/>
  <c r="K397" i="11"/>
  <c r="I423" i="11"/>
  <c r="M362" i="11"/>
  <c r="I436" i="11"/>
  <c r="M431" i="11"/>
  <c r="M435" i="11"/>
  <c r="M436" i="11"/>
  <c r="M438" i="11"/>
  <c r="K439" i="11"/>
  <c r="K435" i="11"/>
  <c r="M439" i="11"/>
  <c r="M433" i="11"/>
  <c r="M437" i="11"/>
  <c r="I442" i="11"/>
  <c r="I437" i="11"/>
  <c r="M440" i="11"/>
  <c r="M441" i="11"/>
  <c r="K434" i="11"/>
  <c r="K438" i="11"/>
  <c r="I441" i="11"/>
  <c r="I433" i="11"/>
  <c r="K440" i="11"/>
  <c r="K442" i="11"/>
  <c r="M359" i="11"/>
  <c r="K359" i="11"/>
  <c r="I359" i="11"/>
  <c r="M360" i="11"/>
  <c r="K360" i="11"/>
  <c r="I360" i="11"/>
  <c r="K468" i="11"/>
  <c r="K48" i="11"/>
  <c r="I26" i="11"/>
  <c r="K26" i="11"/>
  <c r="K407" i="11"/>
  <c r="K390" i="11"/>
  <c r="K450" i="11"/>
  <c r="I450" i="11"/>
  <c r="M476" i="11"/>
  <c r="I47" i="11"/>
  <c r="K47" i="11"/>
  <c r="I31" i="11"/>
  <c r="I34" i="11"/>
  <c r="I35" i="11"/>
  <c r="I38" i="11"/>
  <c r="I39" i="11"/>
  <c r="M47" i="11"/>
  <c r="M27" i="11"/>
  <c r="K27" i="11"/>
  <c r="K30" i="11"/>
  <c r="K31" i="11"/>
  <c r="K34" i="11"/>
  <c r="K35" i="11"/>
  <c r="K38" i="11"/>
  <c r="K39" i="11"/>
  <c r="K416" i="11"/>
  <c r="M416" i="11"/>
  <c r="I403" i="11"/>
  <c r="K403" i="11"/>
  <c r="K118" i="11"/>
  <c r="M118" i="11"/>
  <c r="K392" i="11"/>
  <c r="M403" i="11"/>
  <c r="M423" i="11"/>
  <c r="K120" i="11"/>
  <c r="M48" i="11"/>
  <c r="M52" i="11"/>
  <c r="M54" i="11"/>
  <c r="K406" i="11"/>
  <c r="I406" i="11"/>
  <c r="K117" i="11"/>
  <c r="M120" i="11"/>
  <c r="M378" i="11"/>
  <c r="K378" i="11"/>
  <c r="I378" i="11"/>
  <c r="M381" i="11"/>
  <c r="K370" i="11"/>
  <c r="I370" i="11"/>
  <c r="M390" i="11"/>
  <c r="M374" i="11"/>
  <c r="M407" i="11"/>
  <c r="M385" i="11"/>
  <c r="M397" i="11"/>
  <c r="M117" i="11"/>
  <c r="M450" i="11"/>
  <c r="N447" i="11" s="1"/>
  <c r="M65" i="11"/>
  <c r="M69" i="11"/>
  <c r="M73" i="11"/>
  <c r="M392" i="11"/>
  <c r="M467" i="11"/>
  <c r="I467" i="11"/>
  <c r="M468" i="11"/>
  <c r="M475" i="11"/>
  <c r="M474" i="11"/>
  <c r="M473" i="11"/>
  <c r="M28" i="11"/>
  <c r="M32" i="11"/>
  <c r="M50" i="11"/>
  <c r="I56" i="11"/>
  <c r="I28" i="11"/>
  <c r="M29" i="11"/>
  <c r="I32" i="11"/>
  <c r="M33" i="11"/>
  <c r="I36" i="11"/>
  <c r="M37" i="11"/>
  <c r="I40" i="11"/>
  <c r="M41" i="11"/>
  <c r="M43" i="11"/>
  <c r="M44" i="11"/>
  <c r="M46" i="11"/>
  <c r="I52" i="11"/>
  <c r="K55" i="11"/>
  <c r="M26" i="11"/>
  <c r="I29" i="11"/>
  <c r="M30" i="11"/>
  <c r="I33" i="11"/>
  <c r="K36" i="11"/>
  <c r="I37" i="11"/>
  <c r="K40" i="11"/>
  <c r="I41" i="11"/>
  <c r="I64" i="11"/>
  <c r="I65" i="11"/>
  <c r="I68" i="11"/>
  <c r="I69" i="11"/>
  <c r="I72" i="11"/>
  <c r="I73" i="11"/>
  <c r="M59" i="11"/>
  <c r="K43" i="11"/>
  <c r="M42" i="11"/>
  <c r="K51" i="11"/>
  <c r="M55" i="11"/>
  <c r="M56" i="11"/>
  <c r="K65" i="11"/>
  <c r="K69" i="11"/>
  <c r="K73" i="11"/>
  <c r="M66" i="11"/>
  <c r="M74" i="11"/>
  <c r="M366" i="11"/>
  <c r="M377" i="11"/>
  <c r="I366" i="11"/>
  <c r="I377" i="11"/>
  <c r="I361" i="11"/>
  <c r="K62" i="11"/>
  <c r="I63" i="11"/>
  <c r="K66" i="11"/>
  <c r="I67" i="11"/>
  <c r="K70" i="11"/>
  <c r="I71" i="11"/>
  <c r="K74" i="11"/>
  <c r="I75" i="11"/>
  <c r="I337" i="11"/>
  <c r="I373" i="11"/>
  <c r="K361" i="11"/>
  <c r="M62" i="11"/>
  <c r="M70" i="11"/>
  <c r="K396" i="11"/>
  <c r="I396" i="11"/>
  <c r="K427" i="11"/>
  <c r="I427" i="11"/>
  <c r="M368" i="11"/>
  <c r="I395" i="11"/>
  <c r="I420" i="11"/>
  <c r="I368" i="11"/>
  <c r="M367" i="11"/>
  <c r="K389" i="11"/>
  <c r="K400" i="11"/>
  <c r="I400" i="11"/>
  <c r="K119" i="11"/>
  <c r="I369" i="11"/>
  <c r="K381" i="11"/>
  <c r="I388" i="11"/>
  <c r="M395" i="11"/>
  <c r="I416" i="11"/>
  <c r="M420" i="11"/>
  <c r="M424" i="11"/>
  <c r="I118" i="11"/>
  <c r="M45" i="11"/>
  <c r="M49" i="11"/>
  <c r="M53" i="11"/>
  <c r="M57" i="11"/>
  <c r="I61" i="11"/>
  <c r="I45" i="11"/>
  <c r="I49" i="11"/>
  <c r="I53" i="11"/>
  <c r="I57" i="11"/>
  <c r="K60" i="11"/>
  <c r="I42" i="11"/>
  <c r="I46" i="11"/>
  <c r="I50" i="11"/>
  <c r="I54" i="11"/>
  <c r="M60" i="11"/>
  <c r="M61" i="11"/>
  <c r="M58" i="11"/>
  <c r="I58" i="11"/>
  <c r="I59" i="11"/>
  <c r="M471" i="11"/>
  <c r="M472" i="11"/>
  <c r="M444" i="11"/>
  <c r="K445" i="11"/>
  <c r="M470" i="11"/>
  <c r="M445" i="11"/>
  <c r="M469" i="11"/>
  <c r="M443" i="11"/>
  <c r="I443" i="11"/>
  <c r="I444" i="11"/>
  <c r="L25" i="11"/>
  <c r="L24" i="11"/>
  <c r="N114" i="11" l="1"/>
  <c r="N123" i="11"/>
  <c r="N464" i="11"/>
  <c r="F25" i="11"/>
  <c r="F24" i="11"/>
  <c r="I24" i="11" l="1"/>
  <c r="K24" i="11"/>
  <c r="K25" i="11"/>
  <c r="I25" i="11"/>
  <c r="M24" i="11"/>
  <c r="M25" i="11"/>
  <c r="N21" i="11" l="1"/>
  <c r="F20" i="11"/>
  <c r="M20" i="11" s="1"/>
  <c r="F18" i="11"/>
  <c r="M18" i="11" s="1"/>
  <c r="F17" i="11"/>
  <c r="M17" i="11" s="1"/>
  <c r="F16" i="11"/>
  <c r="M16" i="11" s="1"/>
  <c r="F15" i="11"/>
  <c r="M15" i="11" s="1"/>
  <c r="F14" i="11"/>
  <c r="M14" i="11" s="1"/>
  <c r="F13" i="11"/>
  <c r="M13" i="11" s="1"/>
  <c r="F12" i="11"/>
  <c r="M12" i="11" s="1"/>
  <c r="N10" i="11" l="1"/>
  <c r="N479" i="11" s="1"/>
  <c r="M479" i="11"/>
  <c r="M481" i="11" l="1"/>
  <c r="M480" i="11"/>
  <c r="M482" i="11" l="1"/>
  <c r="N481" i="11" l="1"/>
  <c r="N4" i="11"/>
  <c r="N480" i="11"/>
  <c r="N5" i="11" l="1"/>
  <c r="N6" i="11" s="1"/>
  <c r="N482" i="11"/>
</calcChain>
</file>

<file path=xl/sharedStrings.xml><?xml version="1.0" encoding="utf-8"?>
<sst xmlns="http://schemas.openxmlformats.org/spreadsheetml/2006/main" count="1399" uniqueCount="264">
  <si>
    <t>Date:</t>
  </si>
  <si>
    <t>Project:</t>
  </si>
  <si>
    <t>BEST BUY #0688</t>
  </si>
  <si>
    <t>Summary</t>
  </si>
  <si>
    <t>Amount</t>
  </si>
  <si>
    <t>Project Location:</t>
  </si>
  <si>
    <t>N.PALM BEACH 11231 LEGACY AVENUE PALM GARDENS, FL 33410</t>
  </si>
  <si>
    <t>Subtotal</t>
  </si>
  <si>
    <t>Profit/Overhead</t>
  </si>
  <si>
    <t>Total</t>
  </si>
  <si>
    <t>REF. SHEET</t>
  </si>
  <si>
    <t>DETAIL</t>
  </si>
  <si>
    <t>DESCRIPTION</t>
  </si>
  <si>
    <t>QTY.</t>
  </si>
  <si>
    <t>WASTAGE</t>
  </si>
  <si>
    <t>QTY WITH
WASTAGE</t>
  </si>
  <si>
    <t>UNIT</t>
  </si>
  <si>
    <t>UNIT LAB COST</t>
  </si>
  <si>
    <t>TOTAL LAB COST</t>
  </si>
  <si>
    <t>UNIT MAT COST</t>
  </si>
  <si>
    <t>TOTAL MAT COST</t>
  </si>
  <si>
    <t>UNIT COST (LAB+MAT)</t>
  </si>
  <si>
    <t>TOTAL ITEM COST</t>
  </si>
  <si>
    <t>TRADE COST</t>
  </si>
  <si>
    <t>GENERAL REQUIREMENTS</t>
  </si>
  <si>
    <t xml:space="preserve"> </t>
  </si>
  <si>
    <t>Supervision</t>
  </si>
  <si>
    <t>LS</t>
  </si>
  <si>
    <t>Permits</t>
  </si>
  <si>
    <r>
      <t>Final Cleanup</t>
    </r>
    <r>
      <rPr>
        <sz val="12"/>
        <color rgb="FFFF0000"/>
        <rFont val="Calibri"/>
        <family val="2"/>
      </rPr>
      <t xml:space="preserve"> (39,153 SF)</t>
    </r>
  </si>
  <si>
    <t>Mobilization Costs</t>
  </si>
  <si>
    <t>Project Overheads</t>
  </si>
  <si>
    <t>Bonds</t>
  </si>
  <si>
    <t>Temporary Control &amp; Facilities</t>
  </si>
  <si>
    <t/>
  </si>
  <si>
    <t>Contractor's Safety Program</t>
  </si>
  <si>
    <t>Div-02 Selective Removal &amp; Demolition</t>
  </si>
  <si>
    <t>Demolition</t>
  </si>
  <si>
    <t>AS1.0-S240</t>
  </si>
  <si>
    <t>Plan/Sections</t>
  </si>
  <si>
    <t>Existing landscaping to be protected</t>
  </si>
  <si>
    <t>EA</t>
  </si>
  <si>
    <t>Existing raised drive lane pavers to align w/sidewalk for new widened zero curb</t>
  </si>
  <si>
    <t>Relocated existing bike rack</t>
  </si>
  <si>
    <t>New curb cut</t>
  </si>
  <si>
    <t>Existing drain to be scoped cleaned and rapair as needed</t>
  </si>
  <si>
    <t>Existing railing to be repaired like new painted black with new truck dock configurations</t>
  </si>
  <si>
    <t>LF</t>
  </si>
  <si>
    <t>Existing grade at brick paver cross walk to be reinstalled</t>
  </si>
  <si>
    <t>SF</t>
  </si>
  <si>
    <t>Demolish sidewalk for new tactile warning surface</t>
  </si>
  <si>
    <t>Exisitng bike rack to be demolished</t>
  </si>
  <si>
    <t>Cover sidewalk to be removed</t>
  </si>
  <si>
    <t>Protect MPOE</t>
  </si>
  <si>
    <t>Walls to be removed</t>
  </si>
  <si>
    <t>Storefront and door to be removed</t>
  </si>
  <si>
    <t>Demolish sidewalk</t>
  </si>
  <si>
    <t>Existing sheeting and furring to be removed</t>
  </si>
  <si>
    <t>Curb to be removed</t>
  </si>
  <si>
    <t>Doors to be removed</t>
  </si>
  <si>
    <t>Existing wall furring to be removed</t>
  </si>
  <si>
    <t>Existing door to be modified/Replaced</t>
  </si>
  <si>
    <t>Plumbing fixtures to be removed</t>
  </si>
  <si>
    <t>Ceiling and fixtures to be removed</t>
  </si>
  <si>
    <t>Tile finish to be removed and patch for new floor</t>
  </si>
  <si>
    <t>Remove elevator cab finish</t>
  </si>
  <si>
    <t>Existing gypsum bulkhead/ceiling at underside of mezzanine to be removed</t>
  </si>
  <si>
    <t>Decorative railing infill to be removed</t>
  </si>
  <si>
    <t>Existing railing to be removed</t>
  </si>
  <si>
    <t>Plumbing lines(not shown to be removed)</t>
  </si>
  <si>
    <t>New opening in mezzanine slab for new columns</t>
  </si>
  <si>
    <t>Slab to be removed</t>
  </si>
  <si>
    <t>Remove all existing electrical stud up junction boxes. Patch slab with new flush condition</t>
  </si>
  <si>
    <t>Quarry tile to be removed</t>
  </si>
  <si>
    <t>4" Slab over 4" insulation to be removed</t>
  </si>
  <si>
    <t>Demo slab as required for new structural columns</t>
  </si>
  <si>
    <t>Framed openings to be infilled</t>
  </si>
  <si>
    <t>MOP sink and plumbing to be removed</t>
  </si>
  <si>
    <t>Shower pan to be removed</t>
  </si>
  <si>
    <t>Remove existing HVAC equipment and screening</t>
  </si>
  <si>
    <t>Remove existing HVAC equipment</t>
  </si>
  <si>
    <t>Existing solar panels and associated equipment to be removed in its entirety</t>
  </si>
  <si>
    <t>Existing louver vents in masonry wall to be removed. Patch masonry wall like new</t>
  </si>
  <si>
    <t>Remove mechanical equipment steel support to be removed</t>
  </si>
  <si>
    <t>Columns to be removed</t>
  </si>
  <si>
    <t>Storefront windows to be removed</t>
  </si>
  <si>
    <t>EIFS and sheeting to be removed</t>
  </si>
  <si>
    <t>Awning fabric to be removed</t>
  </si>
  <si>
    <t>Louver to be removed</t>
  </si>
  <si>
    <t>Masonry openings</t>
  </si>
  <si>
    <t>Remove compactor door and frame</t>
  </si>
  <si>
    <t>Metal panel to be removed</t>
  </si>
  <si>
    <t>Autodoor package to be removed</t>
  </si>
  <si>
    <t>Remove finishes at stairs</t>
  </si>
  <si>
    <t>Remove all metal stud framing and sheeting in its entirety of the structure</t>
  </si>
  <si>
    <t>Div-3 Concrete</t>
  </si>
  <si>
    <t>4x4x1 Footing w. 4#5</t>
  </si>
  <si>
    <t xml:space="preserve">Concrete </t>
  </si>
  <si>
    <t>CY</t>
  </si>
  <si>
    <t>Formwork</t>
  </si>
  <si>
    <t>SFCA</t>
  </si>
  <si>
    <t>Excavation</t>
  </si>
  <si>
    <t>Backfill</t>
  </si>
  <si>
    <t>4 #5 EA</t>
  </si>
  <si>
    <t>LB</t>
  </si>
  <si>
    <t>Drilled dowels</t>
  </si>
  <si>
    <t>4.5x4.5x1 4 #5 EW</t>
  </si>
  <si>
    <t>4" Slab W2.1xW2.1 WWR</t>
  </si>
  <si>
    <t>4" Thick slab w/ W2.1xW2.1</t>
  </si>
  <si>
    <t>4" Edge form</t>
  </si>
  <si>
    <t>Vapor barrier</t>
  </si>
  <si>
    <t>Saw cut control joint</t>
  </si>
  <si>
    <t>Expansion joint</t>
  </si>
  <si>
    <t>4" Aggregate base</t>
  </si>
  <si>
    <t>4" Slab at demolished slab</t>
  </si>
  <si>
    <t>Div-4 Masonry</t>
  </si>
  <si>
    <t>CMU</t>
  </si>
  <si>
    <t>New CMU pier
7' Deep
Reinforced
Drilled dowels at bottom</t>
  </si>
  <si>
    <t>CMU infill 5/S300 12" Block wall
Reinforced
Drilled dowels at perimeter</t>
  </si>
  <si>
    <t>CMU infill 6/S300 12" Block wall
Reinforced
Drilled dowels at perimeter</t>
  </si>
  <si>
    <t>New masonry wall infill 12" Block wall
Reinforced
Drilled dowels at perimeter</t>
  </si>
  <si>
    <t>Patches at masonry</t>
  </si>
  <si>
    <t>Div-09 Finishes</t>
  </si>
  <si>
    <t>Wall finishes</t>
  </si>
  <si>
    <t>E2 F16a</t>
  </si>
  <si>
    <t>2"x4" FRT wood furring @ 16" o.c</t>
  </si>
  <si>
    <t>4'x8' Plywood</t>
  </si>
  <si>
    <t>S3 F19 F7</t>
  </si>
  <si>
    <t>3 5/8" Metal studs @ 16" o.c.</t>
  </si>
  <si>
    <t>Metal track at top and bottom</t>
  </si>
  <si>
    <t>5/8" Typx X gypsum board 4'x8'</t>
  </si>
  <si>
    <t>Sealant</t>
  </si>
  <si>
    <t>2(3/4") CDX Plywood sheeting</t>
  </si>
  <si>
    <t>S3 F5/F4</t>
  </si>
  <si>
    <t>5/8" gypsum board 4'x8'</t>
  </si>
  <si>
    <t>1/2" CDX plywood sheeting</t>
  </si>
  <si>
    <t>S2 F5/F18 F1</t>
  </si>
  <si>
    <t>6" Metal studs @ 16" o.c.</t>
  </si>
  <si>
    <t>5/8" type x gypsum board 4'x8'</t>
  </si>
  <si>
    <t>5/8" impact resisting gypsum board 4'x8'</t>
  </si>
  <si>
    <t>S2 F4/F18 F1</t>
  </si>
  <si>
    <t>S3 F19</t>
  </si>
  <si>
    <t>S4 F4/F2</t>
  </si>
  <si>
    <t>6" Steel studs @ 16" o.c.</t>
  </si>
  <si>
    <t>Steel track at top and bottom</t>
  </si>
  <si>
    <t>S2 F2</t>
  </si>
  <si>
    <t>S4 F2/ F18 F2</t>
  </si>
  <si>
    <t>S4 F2 F18/F4</t>
  </si>
  <si>
    <t>S3 F4/F4</t>
  </si>
  <si>
    <t>S1 F1 F18/F7</t>
  </si>
  <si>
    <t>(2) 3/4" CDX plywood sheeting</t>
  </si>
  <si>
    <t>F7</t>
  </si>
  <si>
    <t>S53 F9 F2/F13</t>
  </si>
  <si>
    <t>6" Steel studs @ 16" o.c. 18 GA</t>
  </si>
  <si>
    <t>1/2" FRT plywood sheeting</t>
  </si>
  <si>
    <t>Sound insulation</t>
  </si>
  <si>
    <t>S1 F2 F9/F13</t>
  </si>
  <si>
    <t>S51 F2</t>
  </si>
  <si>
    <t>S56 F9 F2 F15/F9 F2</t>
  </si>
  <si>
    <t>Double stud wall 18 Ga @ 16" o.c.</t>
  </si>
  <si>
    <t>3/4" CDX plywood sheeting</t>
  </si>
  <si>
    <t>S51 F2 F15</t>
  </si>
  <si>
    <t>S52 F2</t>
  </si>
  <si>
    <t>S53 F13</t>
  </si>
  <si>
    <t>S3 F4/F2</t>
  </si>
  <si>
    <t>S3 F2/F2 F18</t>
  </si>
  <si>
    <t>5/8" impact resistance gypsum board 4'x8'</t>
  </si>
  <si>
    <t>S4 F9 F2/F18 F2</t>
  </si>
  <si>
    <t>S1 F1/F1</t>
  </si>
  <si>
    <t>S1 F1 F18 F1</t>
  </si>
  <si>
    <t>S1 F1 F16c/F1</t>
  </si>
  <si>
    <t>3/4" FRT plywood sheeting</t>
  </si>
  <si>
    <t>S1 F1 F16c/F7</t>
  </si>
  <si>
    <t>3/4" CDX Plywood sheeting</t>
  </si>
  <si>
    <t>E2 F2 F9</t>
  </si>
  <si>
    <t>S2 F2 F9</t>
  </si>
  <si>
    <t>S3 F18 F2 F9</t>
  </si>
  <si>
    <t>S2 F2 F9/F1 F18</t>
  </si>
  <si>
    <t>Mudding</t>
  </si>
  <si>
    <t>LBS</t>
  </si>
  <si>
    <t>Tapping</t>
  </si>
  <si>
    <t>Screws</t>
  </si>
  <si>
    <t>Sealed concrete</t>
  </si>
  <si>
    <t>SC1
EXPOSED CONRETE SLAB AT FOR STOCKROOM, JANITOR AND COMM. ROOM: SEALED
CONCRETE, SEE SPEC SECTION 03 3000 (SECTION 2.07 CAST-IN-PLACE CONCRETE)</t>
  </si>
  <si>
    <t>ST2
(SALES FLOOR / RACETRACK) FLOOR FINISH FOR EXPOSED CONCRETE SLAB WITH
MICRO-TOPPING: SKRAFINNO WITH INTEGRAL COLOR "FUNCTIONAL GREY" WITH PERDURE
U42 GLOSS SEALING. FINISH CONCRETE PER SPEC SECTION 03 3540.</t>
  </si>
  <si>
    <t>PC1
EXPOSED SLAB FINISH: POLISHED CONCRETE, NATURAL POLISH FINISH: POLISH THE
CONCRETE PER POLISH CONCRETE SCOPE NOTES ON SHEET A3.0</t>
  </si>
  <si>
    <t>ST1
(SALES FLOOR / APPLICANCES) FLOOR FINISH FOR EXPOSED CONCRETE SLAB WITH
MICRO-TOPPING: SKRAFINNO WITH INTEGRAL COLOR "NIMBUS GRAY" WITH PERDURE P72
GLOSS SEALING. FINISH CONCRETE PER SPEC SECTION 03 3540.</t>
  </si>
  <si>
    <t>Carpet tile</t>
  </si>
  <si>
    <t>CPT1
CARPET TILE: MILLIKEN - DR00907409, BLUEBERRY RIPPLE - SIZE: 1M X 1M - USE MILLIKEN
NON-REACTIVE STANDARD ADHESIVE. INSTALL PATTERN: BRICK ASHLAR. TRANSITON STRIP:
JOHNSONITE CTA-40-H "BLACK"</t>
  </si>
  <si>
    <t>CPT2
CARPET TILE: MILLIKEN - DR/MAT ID: 00879501MR, DESIGN NAME: FUZZY WEAVE 2. SIZE: 1M X
1M - USE MILLIKEN NON-REACTIVE STANDARD ADHESIVE.  INSTALL PATTERN: VERTICAL
ASHLAR. TRANSITON STRIP: JOHNSONITE CTA-40-H "BLACK"</t>
  </si>
  <si>
    <t>CPT5
TILE CARPET,  MANNINGTON, TYPESET, "CHAETURE"</t>
  </si>
  <si>
    <t>CPT 6A
SAME AS [CPT-6] WITH ADDITION OF RAISED FLOOR SYSTEM PROVIDED AND INSTALLED BY
VENDOR</t>
  </si>
  <si>
    <t>CPT7
TILE CARPET: PATCRAFT, STYLE, I0353 HOMEROOM V3.0, COLOR: 00590 STUDY HALL,  24" X
24" - MONOLITHIC INSTALLATION</t>
  </si>
  <si>
    <t>CPT9
CARPET TILE: MILLIKEN - DESIGN: FORMWORK FWK79 MR, DESIGN NAME:  SPAR - SIZE: 1M X
1M - USE MILLIKEN NON-REACTIVE STANDARD SPRAY ADHESIVE. INSTALL PATTERN:
MONOLITHIC INSTALL. TRANSITON STRIP: JOHNSONITE CTA-40-H "BLACK"</t>
  </si>
  <si>
    <t>Flooring carpet</t>
  </si>
  <si>
    <t>MT1
ENTRY FLOORING CARPET: MILLIKEN, STYLE: OBEX TILE CUT THREAD, COLOR:
TDC-118-119DARK GREY (50CM X 50CM), INSTALL MONOLITHIC</t>
  </si>
  <si>
    <t>MT2
ENTRY FLOORING GRID: MILLIKEN, STYLE: OBEX GRID VINYL (11MM CLOSED), COLOR: BLACK</t>
  </si>
  <si>
    <t>Rubber tile flooring</t>
  </si>
  <si>
    <t>RT2
FLOORING FOR FIT VENDOR PAD: INERTIA RUBBER MULTI-FUNCTIONAL SPORTS RUBBER
TILE, GLUE-DOWN, TARKETT MICROTONE MOTTED EGG LB4; PATTERN: MICROTONE,
PATTERN TYPE: ALLOVER, 24"x24"x.250", CLASS 1 FIRE RESISTANCE (FCIC)</t>
  </si>
  <si>
    <t>SC1 RT1
FLOORING FOR GEEK SQUAD: INTERLOCKING STATIC CONTROL FLOOR TILE, SELECT TILE
ESD, 24"x24", GROUND EVERY 1,000 SQ FT, FINISH "COIN" (FCIC)</t>
  </si>
  <si>
    <t>Vinyl tile flooring</t>
  </si>
  <si>
    <t>LVT5
LUXURY VINYL TILE, (0.197" OVERALL THICKNESS) MILLIKEN POL13 "SANDPAPER" 36 X 36
MONOLITHIC INSTALL. MILLIKEN ACOUSTI-LOC MULTI-FUNCTIONAL ADHESIVE REQ'D.
TRANSITION STRIP: JOHNSONITE CTA-40-H "BLACK". SEE UNDERLAYMENT GENERAL
NOTES,SHEET A3.3</t>
  </si>
  <si>
    <t>LVT4
LUXURY VINYL TILE, MANNINGTON, SPACIA, #278731 LOCK SOLID "NORDIC OAK". TRANSITION
STRIP: JOHNSONITE CTA-38-H "PEWTER". SEE UNDERLAYMENT GENERAL NOTES,SHEET A3.3</t>
  </si>
  <si>
    <t>Toilet partition</t>
  </si>
  <si>
    <t>TP Toilet partitions</t>
  </si>
  <si>
    <t>Ceramic tile</t>
  </si>
  <si>
    <t>CT2
ACCENT WALL TILE: CERAMIC FLOOR TILE, DALTILE, COLOR WHEEL, 1174 SEA BREEZE, 2"X8",
BRICK ASHLAR, GROUT: MAPEI SILVER (27)</t>
  </si>
  <si>
    <t>CT1
WALL &amp; FLOOR TILE: CERAMIC WALL TILE, DALTILE, MODERN HEARTH, CHIMNEY CORNER
MHO6, 12"X24", STACKED BOND, GROUT: MAPEI CHARCOAL (47)</t>
  </si>
  <si>
    <t>CT3
CERAMIC TILE</t>
  </si>
  <si>
    <t>Plastic laminate</t>
  </si>
  <si>
    <t>PL2
HIGH PRESSURE LAMINATE: NEVAMAR "GUNMETAL - SUPER MATTE" S6020SM</t>
  </si>
  <si>
    <t>PL3
HIGH PRESSURE LAMINATE:  NEVAMAR "DRY CREEK PLUM TREE" WZ6001-T</t>
  </si>
  <si>
    <t>PL4
WATER RESISTANT FRP PANEL: MARLITE STANDARD FRP, COLOR: P100 WHITE, PEBBLED
FINISH, PVC TRIM</t>
  </si>
  <si>
    <t>Gypsum board ceiling</t>
  </si>
  <si>
    <t>FRT Ceiling</t>
  </si>
  <si>
    <t>1/2" FRT Ceiling</t>
  </si>
  <si>
    <t>ACT Ceiling</t>
  </si>
  <si>
    <t>ACT41
SUSPENDED CEILING:  2'-0" x 2'-0" x 1" SUSPENDED WOOD WOOL CEILING PANEL, MODEL:
#AGEWW122SPW, PAINT [PT-1] BM 2121-70 "CHANTILLY LACE" / SW 7551 "GREEK VILLA"</t>
  </si>
  <si>
    <t>ACT1
SUSPENDED CEILING:  2'x4' SCORED FISSURED, MINERAL FIBER SUSPENDED CLG
(ARMSTRONG "CORTEGA SECOND-LOOK"/USG "RADAR - ILLUSION), INTERIORS, WHITE.</t>
  </si>
  <si>
    <t>Rubber wall base</t>
  </si>
  <si>
    <t>Tile wall base</t>
  </si>
  <si>
    <t>Corner guard</t>
  </si>
  <si>
    <t>Corner guard
STAINLESS STEEL CORNER GUARD,</t>
  </si>
  <si>
    <t>Light guage header</t>
  </si>
  <si>
    <t>Wall covering</t>
  </si>
  <si>
    <t>WC2
WALL COVERING: WOLF GORDON - ISLINGTON, GRAPH (GOH 12088453) (GC PROVIDED AND
INSTALLED)</t>
  </si>
  <si>
    <t>WC1
WALL COVERING: WOLF GORDON - ISLINGTON STATION / GRAPH (GOH 12088448) (PROVIDED
AND INSTALLED BY GC)</t>
  </si>
  <si>
    <t>Wood wall covering</t>
  </si>
  <si>
    <t>WD1
WOOD PLANK WALL COVERING: OHIO-MADE LLC WIDE PLANK BOSTON COLLECTION "BARREL
WHITE OAK", (GC PROVIDED AND INSTALLED). PLANKS TO ACCLIMATE TO INSTALLED
ENVIRONMENT FOR 48 HOURS PRIOR TO INSTALLATION. PLANKS TO BE GLUED UP IN A FULL
SPREAD MANOR TO THE PLYWOOD USING  BONA R851.</t>
  </si>
  <si>
    <t>Paint</t>
  </si>
  <si>
    <t>Paint on walls</t>
  </si>
  <si>
    <t>Paint on ceiling</t>
  </si>
  <si>
    <t>Paint on open structure</t>
  </si>
  <si>
    <t>Paint on doors</t>
  </si>
  <si>
    <t>6" Painted path</t>
  </si>
  <si>
    <t>Paint on steel columns</t>
  </si>
  <si>
    <t>Paint on steel angles</t>
  </si>
  <si>
    <t>Paint all HVAC, burglar bar</t>
  </si>
  <si>
    <t>Paint on conduits</t>
  </si>
  <si>
    <t>Paint all camera and poles</t>
  </si>
  <si>
    <t>Exterior paint</t>
  </si>
  <si>
    <t>Paint on roof ladder</t>
  </si>
  <si>
    <t>Paint on steel channel @ Over head door 20'</t>
  </si>
  <si>
    <t>Paint on compactor door steel channel 16'</t>
  </si>
  <si>
    <t>Steel angles painted</t>
  </si>
  <si>
    <t>Trim to be stained</t>
  </si>
  <si>
    <t>Div-32 Exterior improvements</t>
  </si>
  <si>
    <t xml:space="preserve">Bollards </t>
  </si>
  <si>
    <t>Bollards 6/AS1.1</t>
  </si>
  <si>
    <t>Formwork circular footing</t>
  </si>
  <si>
    <t>Sand</t>
  </si>
  <si>
    <t>Curb side pickup signage</t>
  </si>
  <si>
    <t>Div-12 Furnishing</t>
  </si>
  <si>
    <t>Shelvings</t>
  </si>
  <si>
    <t>PAC 2.0 Box stock shelves:5' High x4'-10" Wide x 1'-2" Deep</t>
  </si>
  <si>
    <t>4' High x 4' Wide x 1'-2" Deep shelves</t>
  </si>
  <si>
    <t>Ware house storage shelving 10' H x 4' Wide x 2' Deep</t>
  </si>
  <si>
    <t>Ware house storage shelving 15' H x 4' Wide x 2.5' Deep</t>
  </si>
  <si>
    <t>Ware house storage shelving w/ desk 15' H x 4' Wide x 2.5' Deep</t>
  </si>
  <si>
    <t>Warehouse storage shelving wide span 15'H x 8' Wx4'-2"D</t>
  </si>
  <si>
    <t>Warehouse storage shelving wide span 10'H x 8' Wx2'-2"D</t>
  </si>
  <si>
    <t>Warehouse storage shelving wide span 15'H x 8' Wx2'-2"D</t>
  </si>
  <si>
    <t>Warehouse storage shelving wide span 15'H x 8' Wx3'-2"D</t>
  </si>
  <si>
    <t>PAC 2.0 Box stock shelves 5' High x 4'-10" Wide x 1'-2" Deep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</si>
</sst>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quot;?_);_(@_)"/>
    <numFmt numFmtId="167" formatCode="_(&quot;$&quot;* #,##0.0_);_(&quot;$&quot;* \(#,##0.0\);_(&quot;$&quot;* &quot;-&quot;??_);_(@_)"/>
    <numFmt numFmtId="168" formatCode="_-&quot;$&quot;* #,##0_-;\-&quot;$&quot;* #,##0_-;_-&quot;$&quot;* &quot;-&quot;??_-;_-@_-"/>
    <numFmt numFmtId="169" formatCode="_-[$$-409]* #,##0.00_ ;_-[$$-409]* \-#,##0.00\ ;_-[$$-409]* &quot;-&quot;??_ ;_-@_ "/>
    <numFmt numFmtId="170" formatCode="0.0%"/>
    <numFmt numFmtId="171" formatCode="_(* #,##0.00_);_(* \(#,##0.00\);_(* &quot;-&quot;_);_(@_)"/>
  </numFmts>
  <fonts count="6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Arial"/>
      <family val="2"/>
    </font>
    <font>
      <sz val="12"/>
      <name val="Calibri"/>
      <family val="2"/>
      <scheme val="minor"/>
    </font>
    <font>
      <b/>
      <sz val="12"/>
      <name val="Calibri"/>
      <family val="2"/>
      <scheme val="minor"/>
    </font>
    <font>
      <sz val="12"/>
      <color indexed="9"/>
      <name val="Calibri"/>
      <family val="2"/>
      <scheme val="minor"/>
    </font>
    <font>
      <u/>
      <sz val="12"/>
      <name val="Calibri"/>
      <family val="2"/>
      <scheme val="minor"/>
    </font>
    <font>
      <b/>
      <sz val="12"/>
      <color indexed="63"/>
      <name val="Calibri"/>
      <family val="2"/>
      <scheme val="minor"/>
    </font>
    <font>
      <b/>
      <sz val="12"/>
      <color theme="1"/>
      <name val="Calibri"/>
      <family val="2"/>
      <scheme val="minor"/>
    </font>
    <font>
      <sz val="12"/>
      <color theme="0" tint="-0.34998626667073579"/>
      <name val="Calibri"/>
      <family val="2"/>
      <scheme val="minor"/>
    </font>
    <font>
      <u/>
      <sz val="12"/>
      <color theme="0" tint="-0.34998626667073579"/>
      <name val="Calibri"/>
      <family val="2"/>
      <scheme val="minor"/>
    </font>
    <font>
      <b/>
      <sz val="16"/>
      <color theme="1"/>
      <name val="Calibri"/>
      <family val="2"/>
      <scheme val="minor"/>
    </font>
    <font>
      <sz val="16"/>
      <color theme="1"/>
      <name val="Calibri"/>
      <family val="2"/>
      <scheme val="minor"/>
    </font>
    <font>
      <b/>
      <sz val="12"/>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color theme="1"/>
      <name val="Times New Roman"/>
      <family val="1"/>
    </font>
    <font>
      <sz val="16"/>
      <color theme="1"/>
      <name val="Times New Roman"/>
      <family val="1"/>
    </font>
    <font>
      <b/>
      <sz val="16"/>
      <color rgb="FFFF0000"/>
      <name val="Times New Roman"/>
      <family val="1"/>
    </font>
    <font>
      <sz val="12"/>
      <color theme="1"/>
      <name val="Calibri"/>
      <family val="2"/>
      <scheme val="minor"/>
    </font>
    <font>
      <sz val="12"/>
      <color rgb="FFFF0000"/>
      <name val="Calibri"/>
      <family val="2"/>
    </font>
    <font>
      <b/>
      <i/>
      <sz val="12"/>
      <color rgb="FFFF0000"/>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style="thin">
        <color indexed="62"/>
      </top>
      <bottom style="double">
        <color indexed="62"/>
      </bottom>
      <diagonal/>
    </border>
    <border>
      <left/>
      <right/>
      <top style="thin">
        <color indexed="62"/>
      </top>
      <bottom style="thin">
        <color indexed="64"/>
      </bottom>
      <diagonal/>
    </border>
    <border>
      <left/>
      <right style="thin">
        <color indexed="64"/>
      </right>
      <top style="thin">
        <color indexed="62"/>
      </top>
      <bottom style="thin">
        <color indexed="64"/>
      </bottom>
      <diagonal/>
    </border>
    <border>
      <left/>
      <right/>
      <top/>
      <bottom style="medium">
        <color auto="1"/>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12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8" fillId="0" borderId="0"/>
    <xf numFmtId="0" fontId="8"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 fillId="0" borderId="0"/>
    <xf numFmtId="0" fontId="26" fillId="0" borderId="0"/>
    <xf numFmtId="0" fontId="8" fillId="0" borderId="0"/>
    <xf numFmtId="43" fontId="26" fillId="0" borderId="0" applyFont="0" applyFill="0" applyBorder="0" applyAlignment="0" applyProtection="0"/>
    <xf numFmtId="0" fontId="27" fillId="0" borderId="0"/>
    <xf numFmtId="43" fontId="8" fillId="0" borderId="0" applyFont="0" applyFill="0" applyBorder="0" applyAlignment="0" applyProtection="0"/>
    <xf numFmtId="0" fontId="8" fillId="0" borderId="0"/>
    <xf numFmtId="44" fontId="27" fillId="0" borderId="0" applyFont="0" applyFill="0" applyBorder="0" applyAlignment="0" applyProtection="0"/>
    <xf numFmtId="0" fontId="6" fillId="0" borderId="0"/>
    <xf numFmtId="0" fontId="8" fillId="0" borderId="0"/>
    <xf numFmtId="0" fontId="6" fillId="0" borderId="0"/>
    <xf numFmtId="0" fontId="5" fillId="0" borderId="0"/>
    <xf numFmtId="0" fontId="4" fillId="0" borderId="0"/>
    <xf numFmtId="0" fontId="39" fillId="0" borderId="0" applyNumberFormat="0" applyFill="0" applyBorder="0" applyAlignment="0" applyProtection="0"/>
    <xf numFmtId="0" fontId="40" fillId="0" borderId="24" applyNumberFormat="0" applyFill="0" applyAlignment="0" applyProtection="0"/>
    <xf numFmtId="0" fontId="41" fillId="0" borderId="25" applyNumberFormat="0" applyFill="0" applyAlignment="0" applyProtection="0"/>
    <xf numFmtId="0" fontId="42" fillId="0" borderId="26" applyNumberFormat="0" applyFill="0" applyAlignment="0" applyProtection="0"/>
    <xf numFmtId="0" fontId="42" fillId="0" borderId="0" applyNumberFormat="0" applyFill="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6" fillId="29" borderId="27" applyNumberFormat="0" applyAlignment="0" applyProtection="0"/>
    <xf numFmtId="0" fontId="47" fillId="30" borderId="28" applyNumberFormat="0" applyAlignment="0" applyProtection="0"/>
    <xf numFmtId="0" fontId="48" fillId="30" borderId="27" applyNumberFormat="0" applyAlignment="0" applyProtection="0"/>
    <xf numFmtId="0" fontId="49" fillId="0" borderId="29" applyNumberFormat="0" applyFill="0" applyAlignment="0" applyProtection="0"/>
    <xf numFmtId="0" fontId="50" fillId="31" borderId="30" applyNumberFormat="0" applyAlignment="0" applyProtection="0"/>
    <xf numFmtId="0" fontId="51" fillId="0" borderId="0" applyNumberFormat="0" applyFill="0" applyBorder="0" applyAlignment="0" applyProtection="0"/>
    <xf numFmtId="0" fontId="4" fillId="32" borderId="31" applyNumberFormat="0" applyFont="0" applyAlignment="0" applyProtection="0"/>
    <xf numFmtId="0" fontId="52" fillId="0" borderId="0" applyNumberFormat="0" applyFill="0" applyBorder="0" applyAlignment="0" applyProtection="0"/>
    <xf numFmtId="0" fontId="53" fillId="0" borderId="32" applyNumberFormat="0" applyFill="0" applyAlignment="0" applyProtection="0"/>
    <xf numFmtId="0" fontId="5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54" fillId="56" borderId="0" applyNumberFormat="0" applyBorder="0" applyAlignment="0" applyProtection="0"/>
    <xf numFmtId="9" fontId="55"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32" borderId="31"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17">
    <xf numFmtId="0" fontId="0" fillId="0" borderId="0" xfId="0"/>
    <xf numFmtId="0" fontId="28" fillId="0" borderId="0" xfId="0" applyFont="1" applyAlignment="1">
      <alignment vertical="top"/>
    </xf>
    <xf numFmtId="2" fontId="28" fillId="0" borderId="0" xfId="0" applyNumberFormat="1" applyFont="1" applyAlignment="1">
      <alignment vertical="top" wrapText="1"/>
    </xf>
    <xf numFmtId="41" fontId="28" fillId="0" borderId="0" xfId="45" applyNumberFormat="1" applyFont="1" applyAlignment="1">
      <alignment vertical="center"/>
    </xf>
    <xf numFmtId="0" fontId="28" fillId="0" borderId="0" xfId="45" applyFont="1" applyAlignment="1">
      <alignment vertical="center"/>
    </xf>
    <xf numFmtId="0" fontId="31" fillId="0" borderId="0" xfId="0" applyFont="1" applyAlignment="1">
      <alignment vertical="center"/>
    </xf>
    <xf numFmtId="0" fontId="30" fillId="0" borderId="0" xfId="0" applyFont="1" applyAlignment="1">
      <alignment horizontal="center" vertical="center" wrapText="1"/>
    </xf>
    <xf numFmtId="0" fontId="28" fillId="25" borderId="18" xfId="38" applyFont="1" applyFill="1" applyBorder="1" applyAlignment="1">
      <alignment horizontal="justify" vertical="top" wrapText="1"/>
    </xf>
    <xf numFmtId="0" fontId="33" fillId="24" borderId="10" xfId="34" applyFont="1" applyFill="1" applyBorder="1" applyAlignment="1" applyProtection="1">
      <alignment horizontal="center" vertical="center" wrapText="1"/>
    </xf>
    <xf numFmtId="2" fontId="33" fillId="24" borderId="10" xfId="34" applyNumberFormat="1" applyFont="1" applyFill="1" applyBorder="1" applyAlignment="1" applyProtection="1">
      <alignment horizontal="center" vertical="center" wrapText="1"/>
    </xf>
    <xf numFmtId="0" fontId="28" fillId="0" borderId="0" xfId="0" applyFont="1" applyAlignment="1">
      <alignment horizontal="center" vertical="center"/>
    </xf>
    <xf numFmtId="2" fontId="28" fillId="0" borderId="0" xfId="0" applyNumberFormat="1" applyFont="1" applyAlignment="1">
      <alignment horizontal="center" vertical="center" wrapText="1"/>
    </xf>
    <xf numFmtId="2" fontId="28" fillId="0" borderId="0" xfId="0" applyNumberFormat="1" applyFont="1" applyAlignment="1">
      <alignment vertical="center" wrapText="1"/>
    </xf>
    <xf numFmtId="9" fontId="28" fillId="25" borderId="18" xfId="38" applyNumberFormat="1" applyFont="1" applyFill="1" applyBorder="1" applyAlignment="1">
      <alignment horizontal="right" vertical="center"/>
    </xf>
    <xf numFmtId="41" fontId="28" fillId="25" borderId="18" xfId="38" applyNumberFormat="1" applyFont="1" applyFill="1" applyBorder="1" applyAlignment="1">
      <alignment horizontal="right" vertical="center"/>
    </xf>
    <xf numFmtId="0" fontId="28" fillId="25" borderId="18" xfId="38" applyFont="1" applyFill="1" applyBorder="1" applyAlignment="1">
      <alignment horizontal="center" vertical="center"/>
    </xf>
    <xf numFmtId="167" fontId="28" fillId="25" borderId="18" xfId="38" applyNumberFormat="1" applyFont="1" applyFill="1" applyBorder="1" applyAlignment="1">
      <alignment vertical="center"/>
    </xf>
    <xf numFmtId="166" fontId="28" fillId="25" borderId="18" xfId="38" applyNumberFormat="1" applyFont="1" applyFill="1" applyBorder="1" applyAlignment="1" applyProtection="1">
      <alignment horizontal="left" vertical="center"/>
    </xf>
    <xf numFmtId="42" fontId="29" fillId="25" borderId="19" xfId="38" applyNumberFormat="1" applyFont="1" applyFill="1" applyBorder="1" applyAlignment="1" applyProtection="1">
      <alignment horizontal="left" vertical="center"/>
    </xf>
    <xf numFmtId="0" fontId="32" fillId="20" borderId="12" xfId="39" applyFont="1" applyBorder="1" applyAlignment="1">
      <alignment vertical="center"/>
    </xf>
    <xf numFmtId="42" fontId="32" fillId="20" borderId="10" xfId="39" applyNumberFormat="1" applyFont="1" applyBorder="1" applyAlignment="1">
      <alignment vertical="center"/>
    </xf>
    <xf numFmtId="166" fontId="28" fillId="25" borderId="7" xfId="38" applyNumberFormat="1" applyFont="1" applyFill="1" applyAlignment="1" applyProtection="1">
      <alignment horizontal="left" vertical="center"/>
    </xf>
    <xf numFmtId="42" fontId="29" fillId="25" borderId="13" xfId="38" applyNumberFormat="1" applyFont="1" applyFill="1" applyBorder="1" applyAlignment="1" applyProtection="1">
      <alignment horizontal="left" vertical="center"/>
    </xf>
    <xf numFmtId="164" fontId="28" fillId="0" borderId="0" xfId="0" applyNumberFormat="1" applyFont="1" applyAlignment="1">
      <alignment vertical="center"/>
    </xf>
    <xf numFmtId="41" fontId="28" fillId="0" borderId="0" xfId="0" applyNumberFormat="1" applyFont="1" applyAlignment="1">
      <alignment horizontal="right" vertical="center"/>
    </xf>
    <xf numFmtId="41" fontId="29" fillId="0" borderId="0" xfId="0" applyNumberFormat="1" applyFont="1" applyAlignment="1">
      <alignment horizontal="right" vertical="center"/>
    </xf>
    <xf numFmtId="9" fontId="28" fillId="0" borderId="0" xfId="0" applyNumberFormat="1" applyFont="1" applyAlignment="1">
      <alignment vertical="center"/>
    </xf>
    <xf numFmtId="167" fontId="28" fillId="0" borderId="0" xfId="0" applyNumberFormat="1" applyFont="1" applyAlignment="1">
      <alignment vertical="center"/>
    </xf>
    <xf numFmtId="2" fontId="28" fillId="0" borderId="21" xfId="0" applyNumberFormat="1" applyFont="1" applyBorder="1" applyAlignment="1">
      <alignment vertical="top" wrapText="1"/>
    </xf>
    <xf numFmtId="0" fontId="28" fillId="0" borderId="21" xfId="0" applyFont="1" applyBorder="1" applyAlignment="1">
      <alignment horizontal="center" vertical="center"/>
    </xf>
    <xf numFmtId="2" fontId="28" fillId="0" borderId="21" xfId="0" applyNumberFormat="1" applyFont="1" applyBorder="1" applyAlignment="1">
      <alignment vertical="center" wrapText="1"/>
    </xf>
    <xf numFmtId="164" fontId="28" fillId="0" borderId="22" xfId="0" applyNumberFormat="1" applyFont="1" applyBorder="1" applyAlignment="1">
      <alignment vertical="center"/>
    </xf>
    <xf numFmtId="164" fontId="28" fillId="0" borderId="20" xfId="0" applyNumberFormat="1" applyFont="1" applyBorder="1" applyAlignment="1">
      <alignment vertical="center"/>
    </xf>
    <xf numFmtId="0" fontId="34" fillId="0" borderId="0" xfId="0" applyFont="1" applyAlignment="1">
      <alignment vertical="top"/>
    </xf>
    <xf numFmtId="0" fontId="35" fillId="0" borderId="0" xfId="0" applyFont="1" applyAlignment="1">
      <alignment vertical="center"/>
    </xf>
    <xf numFmtId="0" fontId="34" fillId="0" borderId="0" xfId="45" applyFont="1" applyAlignment="1">
      <alignment vertical="center"/>
    </xf>
    <xf numFmtId="167" fontId="34" fillId="0" borderId="0" xfId="0" applyNumberFormat="1" applyFont="1" applyAlignment="1">
      <alignment vertical="center"/>
    </xf>
    <xf numFmtId="0" fontId="28" fillId="0" borderId="0" xfId="0" applyFont="1"/>
    <xf numFmtId="0" fontId="28" fillId="0" borderId="0" xfId="45" applyFont="1" applyAlignment="1">
      <alignment horizontal="center" vertical="top"/>
    </xf>
    <xf numFmtId="1" fontId="33" fillId="24" borderId="10" xfId="34" applyNumberFormat="1" applyFont="1" applyFill="1" applyBorder="1" applyAlignment="1" applyProtection="1">
      <alignment horizontal="center" vertical="center" wrapText="1"/>
    </xf>
    <xf numFmtId="14" fontId="37" fillId="0" borderId="0" xfId="0" applyNumberFormat="1" applyFont="1" applyAlignment="1">
      <alignment horizontal="left" wrapText="1"/>
    </xf>
    <xf numFmtId="0" fontId="36" fillId="0" borderId="17" xfId="0" applyFont="1" applyBorder="1" applyAlignment="1">
      <alignment horizontal="center" vertical="center"/>
    </xf>
    <xf numFmtId="0" fontId="36" fillId="0" borderId="23" xfId="0" applyFont="1" applyBorder="1" applyAlignment="1">
      <alignment horizontal="center" vertical="center"/>
    </xf>
    <xf numFmtId="0" fontId="37" fillId="0" borderId="0" xfId="0" applyFont="1" applyAlignment="1">
      <alignment horizontal="left" vertical="center"/>
    </xf>
    <xf numFmtId="168" fontId="37" fillId="0" borderId="20" xfId="0" applyNumberFormat="1" applyFont="1" applyBorder="1" applyAlignment="1">
      <alignment horizontal="center" vertical="center"/>
    </xf>
    <xf numFmtId="0" fontId="38" fillId="0" borderId="9" xfId="41" applyFont="1" applyFill="1" applyAlignment="1">
      <alignment vertical="top" wrapText="1"/>
    </xf>
    <xf numFmtId="164" fontId="38" fillId="0" borderId="9" xfId="41" applyNumberFormat="1" applyFont="1" applyFill="1" applyAlignment="1" applyProtection="1">
      <alignment horizontal="center" vertical="center"/>
    </xf>
    <xf numFmtId="0" fontId="38" fillId="0" borderId="9" xfId="41" applyFont="1" applyFill="1" applyAlignment="1">
      <alignment horizontal="center" vertical="center"/>
    </xf>
    <xf numFmtId="42" fontId="38" fillId="0" borderId="14" xfId="41" applyNumberFormat="1" applyFont="1" applyFill="1" applyBorder="1" applyAlignment="1">
      <alignment vertical="center"/>
    </xf>
    <xf numFmtId="165" fontId="38" fillId="0" borderId="9" xfId="41" applyNumberFormat="1" applyFont="1" applyFill="1" applyAlignment="1">
      <alignment horizontal="left" vertical="center"/>
    </xf>
    <xf numFmtId="165" fontId="38" fillId="0" borderId="14" xfId="41" applyNumberFormat="1" applyFont="1" applyFill="1" applyBorder="1" applyAlignment="1">
      <alignment vertical="center"/>
    </xf>
    <xf numFmtId="0" fontId="38" fillId="0" borderId="15" xfId="41" applyFont="1" applyFill="1" applyBorder="1" applyAlignment="1">
      <alignment vertical="top" wrapText="1"/>
    </xf>
    <xf numFmtId="164" fontId="38" fillId="0" borderId="15" xfId="41" applyNumberFormat="1" applyFont="1" applyFill="1" applyBorder="1" applyAlignment="1" applyProtection="1">
      <alignment horizontal="center" vertical="center"/>
    </xf>
    <xf numFmtId="0" fontId="38" fillId="0" borderId="15" xfId="41" applyFont="1" applyFill="1" applyBorder="1" applyAlignment="1">
      <alignment horizontal="center" vertical="center"/>
    </xf>
    <xf numFmtId="166" fontId="38" fillId="0" borderId="15" xfId="41" applyNumberFormat="1" applyFont="1" applyFill="1" applyBorder="1" applyAlignment="1">
      <alignment horizontal="left" vertical="center"/>
    </xf>
    <xf numFmtId="42" fontId="38" fillId="0" borderId="16" xfId="41" applyNumberFormat="1" applyFont="1" applyFill="1" applyBorder="1" applyAlignment="1">
      <alignment vertical="center"/>
    </xf>
    <xf numFmtId="0" fontId="32" fillId="20" borderId="11" xfId="39" applyFont="1" applyBorder="1" applyAlignment="1">
      <alignment vertical="top"/>
    </xf>
    <xf numFmtId="0" fontId="28" fillId="25" borderId="7" xfId="38" applyFont="1" applyFill="1" applyAlignment="1">
      <alignment horizontal="justify" vertical="top" wrapText="1"/>
    </xf>
    <xf numFmtId="9" fontId="28" fillId="25" borderId="7" xfId="38" applyNumberFormat="1" applyFont="1" applyFill="1" applyAlignment="1">
      <alignment horizontal="right" vertical="center"/>
    </xf>
    <xf numFmtId="41" fontId="28" fillId="25" borderId="7" xfId="38" applyNumberFormat="1" applyFont="1" applyFill="1" applyAlignment="1">
      <alignment horizontal="right" vertical="center"/>
    </xf>
    <xf numFmtId="0" fontId="28" fillId="25" borderId="7" xfId="38" applyFont="1" applyFill="1" applyAlignment="1">
      <alignment horizontal="center" vertical="center"/>
    </xf>
    <xf numFmtId="167" fontId="28" fillId="25" borderId="7" xfId="38" applyNumberFormat="1" applyFont="1" applyFill="1" applyAlignment="1">
      <alignment vertical="center"/>
    </xf>
    <xf numFmtId="0" fontId="29" fillId="0" borderId="0" xfId="0" applyFont="1" applyAlignment="1">
      <alignment horizontal="justify" vertical="center"/>
    </xf>
    <xf numFmtId="1" fontId="29" fillId="0" borderId="0" xfId="0" applyNumberFormat="1" applyFont="1" applyAlignment="1">
      <alignment horizontal="right" vertical="center"/>
    </xf>
    <xf numFmtId="9" fontId="29" fillId="0" borderId="0" xfId="0" applyNumberFormat="1" applyFont="1" applyAlignment="1">
      <alignment vertical="center"/>
    </xf>
    <xf numFmtId="0" fontId="29" fillId="0" borderId="0" xfId="0" applyFont="1" applyAlignment="1">
      <alignment horizontal="center" vertical="center"/>
    </xf>
    <xf numFmtId="166" fontId="29" fillId="25" borderId="7" xfId="38" applyNumberFormat="1" applyFont="1" applyFill="1" applyAlignment="1" applyProtection="1">
      <alignment horizontal="left" vertical="center"/>
    </xf>
    <xf numFmtId="167" fontId="29" fillId="0" borderId="21" xfId="0" applyNumberFormat="1" applyFont="1" applyBorder="1" applyAlignment="1">
      <alignment vertical="center" wrapText="1"/>
    </xf>
    <xf numFmtId="167" fontId="29" fillId="0" borderId="0" xfId="0" applyNumberFormat="1" applyFont="1" applyAlignment="1">
      <alignment vertical="center" wrapText="1"/>
    </xf>
    <xf numFmtId="167" fontId="37" fillId="0" borderId="0" xfId="0" applyNumberFormat="1" applyFont="1" applyAlignment="1">
      <alignment horizontal="right" vertical="center"/>
    </xf>
    <xf numFmtId="167" fontId="33" fillId="24" borderId="10" xfId="34" applyNumberFormat="1" applyFont="1" applyFill="1" applyBorder="1" applyAlignment="1" applyProtection="1">
      <alignment horizontal="center" vertical="center" wrapText="1"/>
    </xf>
    <xf numFmtId="167" fontId="32" fillId="20" borderId="12" xfId="39" applyNumberFormat="1" applyFont="1" applyBorder="1" applyAlignment="1">
      <alignment vertical="center"/>
    </xf>
    <xf numFmtId="167" fontId="29" fillId="0" borderId="0" xfId="0" applyNumberFormat="1" applyFont="1" applyAlignment="1">
      <alignment vertical="center"/>
    </xf>
    <xf numFmtId="167" fontId="38" fillId="0" borderId="9" xfId="41" applyNumberFormat="1" applyFont="1" applyFill="1" applyAlignment="1">
      <alignment vertical="center"/>
    </xf>
    <xf numFmtId="167" fontId="38" fillId="0" borderId="15" xfId="41" applyNumberFormat="1" applyFont="1" applyFill="1" applyBorder="1" applyAlignment="1">
      <alignment vertical="center"/>
    </xf>
    <xf numFmtId="167" fontId="28" fillId="0" borderId="0" xfId="0" applyNumberFormat="1" applyFont="1" applyAlignment="1">
      <alignment vertical="center" wrapText="1"/>
    </xf>
    <xf numFmtId="9" fontId="38" fillId="0" borderId="9" xfId="97" applyFont="1" applyFill="1" applyBorder="1" applyAlignment="1">
      <alignment horizontal="center" vertical="center"/>
    </xf>
    <xf numFmtId="0" fontId="28" fillId="0" borderId="0" xfId="45" applyFont="1" applyAlignment="1">
      <alignment horizontal="center" vertical="center"/>
    </xf>
    <xf numFmtId="0" fontId="28" fillId="0" borderId="0" xfId="0" applyFont="1" applyAlignment="1">
      <alignment horizontal="center" vertical="center" wrapText="1"/>
    </xf>
    <xf numFmtId="41" fontId="28" fillId="0" borderId="0" xfId="0" applyNumberFormat="1" applyFont="1" applyAlignment="1">
      <alignment vertical="center"/>
    </xf>
    <xf numFmtId="169" fontId="28" fillId="0" borderId="0" xfId="45" applyNumberFormat="1" applyFont="1" applyAlignment="1">
      <alignment vertical="center"/>
    </xf>
    <xf numFmtId="166" fontId="28" fillId="25" borderId="7" xfId="38" applyNumberFormat="1" applyFont="1" applyFill="1" applyAlignment="1" applyProtection="1">
      <alignment vertical="center"/>
    </xf>
    <xf numFmtId="42" fontId="29" fillId="25" borderId="13" xfId="38" applyNumberFormat="1" applyFont="1" applyFill="1" applyBorder="1" applyAlignment="1" applyProtection="1">
      <alignment vertical="center"/>
    </xf>
    <xf numFmtId="2" fontId="33" fillId="24" borderId="33" xfId="34" applyNumberFormat="1" applyFont="1" applyFill="1" applyBorder="1" applyAlignment="1" applyProtection="1">
      <alignment horizontal="center" vertical="center" wrapText="1"/>
    </xf>
    <xf numFmtId="168" fontId="57" fillId="0" borderId="0" xfId="0" applyNumberFormat="1" applyFont="1"/>
    <xf numFmtId="168" fontId="57" fillId="0" borderId="0" xfId="0" applyNumberFormat="1" applyFont="1" applyAlignment="1">
      <alignment horizontal="left"/>
    </xf>
    <xf numFmtId="168" fontId="58" fillId="0" borderId="0" xfId="0" applyNumberFormat="1" applyFont="1"/>
    <xf numFmtId="14" fontId="57" fillId="0" borderId="0" xfId="0" applyNumberFormat="1" applyFont="1" applyAlignment="1">
      <alignment horizontal="left"/>
    </xf>
    <xf numFmtId="0" fontId="59" fillId="0" borderId="0" xfId="98" applyFont="1"/>
    <xf numFmtId="1" fontId="59" fillId="0" borderId="0" xfId="98" applyNumberFormat="1" applyFont="1" applyAlignment="1">
      <alignment horizontal="right" vertical="center"/>
    </xf>
    <xf numFmtId="0" fontId="59" fillId="0" borderId="0" xfId="98" applyFont="1" applyAlignment="1">
      <alignment horizontal="center" vertical="center"/>
    </xf>
    <xf numFmtId="1" fontId="28" fillId="0" borderId="0" xfId="0" applyNumberFormat="1" applyFont="1" applyAlignment="1">
      <alignment horizontal="center" vertical="center" wrapText="1"/>
    </xf>
    <xf numFmtId="0" fontId="56" fillId="0" borderId="0" xfId="0" applyFont="1" applyAlignment="1">
      <alignment horizontal="right" vertical="center"/>
    </xf>
    <xf numFmtId="1" fontId="28" fillId="25" borderId="18" xfId="38" applyNumberFormat="1" applyFont="1" applyFill="1" applyBorder="1" applyAlignment="1">
      <alignment horizontal="right" vertical="center"/>
    </xf>
    <xf numFmtId="1" fontId="32" fillId="20" borderId="12" xfId="39" applyNumberFormat="1" applyFont="1" applyBorder="1" applyAlignment="1">
      <alignment vertical="center"/>
    </xf>
    <xf numFmtId="1" fontId="28" fillId="25" borderId="7" xfId="38" applyNumberFormat="1" applyFont="1" applyFill="1" applyAlignment="1">
      <alignment horizontal="right" vertical="center"/>
    </xf>
    <xf numFmtId="0" fontId="28" fillId="0" borderId="0" xfId="0" applyFont="1" applyAlignment="1">
      <alignment vertical="center"/>
    </xf>
    <xf numFmtId="1" fontId="38" fillId="0" borderId="9" xfId="41" applyNumberFormat="1" applyFont="1" applyFill="1" applyAlignment="1" applyProtection="1">
      <alignment horizontal="center" vertical="center"/>
    </xf>
    <xf numFmtId="1" fontId="38" fillId="0" borderId="15" xfId="41" applyNumberFormat="1" applyFont="1" applyFill="1" applyBorder="1" applyAlignment="1" applyProtection="1">
      <alignment horizontal="center" vertical="center"/>
    </xf>
    <xf numFmtId="0" fontId="33" fillId="24" borderId="0" xfId="0" applyFont="1" applyFill="1"/>
    <xf numFmtId="0" fontId="59" fillId="0" borderId="0" xfId="99" applyFont="1"/>
    <xf numFmtId="0" fontId="59" fillId="0" borderId="0" xfId="99" applyFont="1" applyAlignment="1">
      <alignment horizontal="right" vertical="center"/>
    </xf>
    <xf numFmtId="0" fontId="59" fillId="0" borderId="0" xfId="99" applyFont="1" applyAlignment="1">
      <alignment horizontal="center" vertical="center"/>
    </xf>
    <xf numFmtId="0" fontId="59" fillId="0" borderId="0" xfId="99" applyFont="1" applyAlignment="1">
      <alignment wrapText="1"/>
    </xf>
    <xf numFmtId="1" fontId="59" fillId="0" borderId="0" xfId="99" applyNumberFormat="1" applyFont="1" applyAlignment="1">
      <alignment horizontal="right" vertical="center"/>
    </xf>
    <xf numFmtId="170" fontId="38" fillId="0" borderId="9" xfId="97" applyNumberFormat="1" applyFont="1" applyFill="1" applyBorder="1" applyAlignment="1">
      <alignment horizontal="center" vertical="center"/>
    </xf>
    <xf numFmtId="0" fontId="33" fillId="0" borderId="0" xfId="99" applyFont="1"/>
    <xf numFmtId="166" fontId="28" fillId="25" borderId="0" xfId="38" applyNumberFormat="1" applyFont="1" applyFill="1" applyBorder="1" applyAlignment="1" applyProtection="1">
      <alignment vertical="center"/>
    </xf>
    <xf numFmtId="0" fontId="59" fillId="0" borderId="0" xfId="98" quotePrefix="1" applyFont="1" applyAlignment="1">
      <alignment horizontal="center" vertical="center"/>
    </xf>
    <xf numFmtId="42" fontId="29" fillId="25" borderId="20" xfId="38" applyNumberFormat="1" applyFont="1" applyFill="1" applyBorder="1" applyAlignment="1" applyProtection="1">
      <alignment vertical="center"/>
    </xf>
    <xf numFmtId="2" fontId="59" fillId="0" borderId="0" xfId="99" applyNumberFormat="1" applyFont="1" applyAlignment="1">
      <alignment horizontal="right" vertical="center"/>
    </xf>
    <xf numFmtId="171" fontId="28" fillId="0" borderId="0" xfId="0" applyNumberFormat="1" applyFont="1" applyAlignment="1">
      <alignment vertical="center"/>
    </xf>
    <xf numFmtId="0" fontId="61" fillId="0" borderId="0" xfId="99" applyFont="1" applyAlignment="1">
      <alignment horizontal="right"/>
    </xf>
    <xf numFmtId="1" fontId="59" fillId="0" borderId="0" xfId="122" applyNumberFormat="1" applyFont="1" applyAlignment="1">
      <alignment horizontal="right" vertical="center"/>
    </xf>
    <xf numFmtId="166" fontId="28" fillId="0" borderId="7" xfId="38" applyNumberFormat="1" applyFont="1" applyFill="1" applyAlignment="1" applyProtection="1">
      <alignment vertical="center"/>
    </xf>
    <xf numFmtId="42" fontId="29" fillId="0" borderId="13" xfId="38" applyNumberFormat="1" applyFont="1" applyFill="1" applyBorder="1" applyAlignment="1" applyProtection="1">
      <alignment vertical="center"/>
    </xf>
    <xf numFmtId="44" fontId="38" fillId="0" borderId="14" xfId="41" applyNumberFormat="1" applyFont="1" applyFill="1" applyBorder="1" applyAlignment="1">
      <alignment vertical="center"/>
    </xf>
  </cellXfs>
  <cellStyles count="125">
    <cellStyle name="20% - Accent1" xfId="1" builtinId="30" customBuiltin="1"/>
    <cellStyle name="20% - Accent1 2" xfId="74" xr:uid="{00000000-0005-0000-0000-000001000000}"/>
    <cellStyle name="20% - Accent1 2 2" xfId="106" xr:uid="{00000000-0005-0000-0000-000002000000}"/>
    <cellStyle name="20% - Accent2" xfId="2" builtinId="34" customBuiltin="1"/>
    <cellStyle name="20% - Accent2 2" xfId="78" xr:uid="{00000000-0005-0000-0000-000004000000}"/>
    <cellStyle name="20% - Accent2 2 2" xfId="108" xr:uid="{00000000-0005-0000-0000-000005000000}"/>
    <cellStyle name="20% - Accent3" xfId="3" builtinId="38" customBuiltin="1"/>
    <cellStyle name="20% - Accent3 2" xfId="82" xr:uid="{00000000-0005-0000-0000-000007000000}"/>
    <cellStyle name="20% - Accent3 2 2" xfId="110" xr:uid="{00000000-0005-0000-0000-000008000000}"/>
    <cellStyle name="20% - Accent4" xfId="4" builtinId="42" customBuiltin="1"/>
    <cellStyle name="20% - Accent4 2" xfId="86" xr:uid="{00000000-0005-0000-0000-00000A000000}"/>
    <cellStyle name="20% - Accent4 2 2" xfId="112" xr:uid="{00000000-0005-0000-0000-00000B000000}"/>
    <cellStyle name="20% - Accent5" xfId="5" builtinId="46" customBuiltin="1"/>
    <cellStyle name="20% - Accent5 2" xfId="90" xr:uid="{00000000-0005-0000-0000-00000D000000}"/>
    <cellStyle name="20% - Accent5 2 2" xfId="114" xr:uid="{00000000-0005-0000-0000-00000E000000}"/>
    <cellStyle name="20% - Accent6" xfId="6" builtinId="50" customBuiltin="1"/>
    <cellStyle name="20% - Accent6 2" xfId="94" xr:uid="{00000000-0005-0000-0000-000010000000}"/>
    <cellStyle name="20% - Accent6 2 2" xfId="116" xr:uid="{00000000-0005-0000-0000-000011000000}"/>
    <cellStyle name="40% - Accent1" xfId="7" builtinId="31" customBuiltin="1"/>
    <cellStyle name="40% - Accent1 2" xfId="75" xr:uid="{00000000-0005-0000-0000-000013000000}"/>
    <cellStyle name="40% - Accent1 2 2" xfId="107" xr:uid="{00000000-0005-0000-0000-000014000000}"/>
    <cellStyle name="40% - Accent2" xfId="8" builtinId="35" customBuiltin="1"/>
    <cellStyle name="40% - Accent2 2" xfId="79" xr:uid="{00000000-0005-0000-0000-000016000000}"/>
    <cellStyle name="40% - Accent2 2 2" xfId="109" xr:uid="{00000000-0005-0000-0000-000017000000}"/>
    <cellStyle name="40% - Accent3" xfId="9" builtinId="39" customBuiltin="1"/>
    <cellStyle name="40% - Accent3 2" xfId="83" xr:uid="{00000000-0005-0000-0000-000019000000}"/>
    <cellStyle name="40% - Accent3 2 2" xfId="111" xr:uid="{00000000-0005-0000-0000-00001A000000}"/>
    <cellStyle name="40% - Accent4" xfId="10" builtinId="43" customBuiltin="1"/>
    <cellStyle name="40% - Accent4 2" xfId="87" xr:uid="{00000000-0005-0000-0000-00001C000000}"/>
    <cellStyle name="40% - Accent4 2 2" xfId="113" xr:uid="{00000000-0005-0000-0000-00001D000000}"/>
    <cellStyle name="40% - Accent5" xfId="11" builtinId="47" customBuiltin="1"/>
    <cellStyle name="40% - Accent5 2" xfId="91" xr:uid="{00000000-0005-0000-0000-00001F000000}"/>
    <cellStyle name="40% - Accent5 2 2" xfId="115" xr:uid="{00000000-0005-0000-0000-000020000000}"/>
    <cellStyle name="40% - Accent6" xfId="12" builtinId="51" customBuiltin="1"/>
    <cellStyle name="40% - Accent6 2" xfId="95" xr:uid="{00000000-0005-0000-0000-000022000000}"/>
    <cellStyle name="40% - Accent6 2 2" xfId="117" xr:uid="{00000000-0005-0000-0000-000023000000}"/>
    <cellStyle name="60% - Accent1" xfId="13" builtinId="32" customBuiltin="1"/>
    <cellStyle name="60% - Accent1 2" xfId="76" xr:uid="{00000000-0005-0000-0000-000025000000}"/>
    <cellStyle name="60% - Accent2" xfId="14" builtinId="36" customBuiltin="1"/>
    <cellStyle name="60% - Accent2 2" xfId="80" xr:uid="{00000000-0005-0000-0000-000027000000}"/>
    <cellStyle name="60% - Accent3" xfId="15" builtinId="40" customBuiltin="1"/>
    <cellStyle name="60% - Accent3 2" xfId="84" xr:uid="{00000000-0005-0000-0000-000029000000}"/>
    <cellStyle name="60% - Accent4" xfId="16" builtinId="44" customBuiltin="1"/>
    <cellStyle name="60% - Accent4 2" xfId="88" xr:uid="{00000000-0005-0000-0000-00002B000000}"/>
    <cellStyle name="60% - Accent5" xfId="17" builtinId="48" customBuiltin="1"/>
    <cellStyle name="60% - Accent5 2" xfId="92" xr:uid="{00000000-0005-0000-0000-00002D000000}"/>
    <cellStyle name="60% - Accent6" xfId="18" builtinId="52" customBuiltin="1"/>
    <cellStyle name="60% - Accent6 2" xfId="96" xr:uid="{00000000-0005-0000-0000-00002F000000}"/>
    <cellStyle name="Accent1" xfId="19" builtinId="29" customBuiltin="1"/>
    <cellStyle name="Accent1 2" xfId="73" xr:uid="{00000000-0005-0000-0000-000031000000}"/>
    <cellStyle name="Accent2" xfId="20" builtinId="33" customBuiltin="1"/>
    <cellStyle name="Accent2 2" xfId="77" xr:uid="{00000000-0005-0000-0000-000033000000}"/>
    <cellStyle name="Accent3" xfId="21" builtinId="37" customBuiltin="1"/>
    <cellStyle name="Accent3 2" xfId="81" xr:uid="{00000000-0005-0000-0000-000035000000}"/>
    <cellStyle name="Accent4" xfId="22" builtinId="41" customBuiltin="1"/>
    <cellStyle name="Accent4 2" xfId="85" xr:uid="{00000000-0005-0000-0000-000037000000}"/>
    <cellStyle name="Accent5" xfId="23" builtinId="45" customBuiltin="1"/>
    <cellStyle name="Accent5 2" xfId="89" xr:uid="{00000000-0005-0000-0000-000039000000}"/>
    <cellStyle name="Accent6" xfId="24" builtinId="49" customBuiltin="1"/>
    <cellStyle name="Accent6 2" xfId="93" xr:uid="{00000000-0005-0000-0000-00003B000000}"/>
    <cellStyle name="Bad" xfId="25" builtinId="27" customBuiltin="1"/>
    <cellStyle name="Bad 2" xfId="62" xr:uid="{00000000-0005-0000-0000-00003D000000}"/>
    <cellStyle name="Calculation" xfId="26" builtinId="22" customBuiltin="1"/>
    <cellStyle name="Calculation 2" xfId="66" xr:uid="{00000000-0005-0000-0000-00003F000000}"/>
    <cellStyle name="Check Cell" xfId="27" builtinId="23" customBuiltin="1"/>
    <cellStyle name="Check Cell 2" xfId="68" xr:uid="{00000000-0005-0000-0000-000041000000}"/>
    <cellStyle name="Comma 2" xfId="46" xr:uid="{00000000-0005-0000-0000-000042000000}"/>
    <cellStyle name="Comma 2 2" xfId="48" xr:uid="{00000000-0005-0000-0000-000043000000}"/>
    <cellStyle name="Currency 2" xfId="50" xr:uid="{00000000-0005-0000-0000-000044000000}"/>
    <cellStyle name="Explanatory Text" xfId="28" builtinId="53" customBuiltin="1"/>
    <cellStyle name="Explanatory Text 2" xfId="71" xr:uid="{00000000-0005-0000-0000-000046000000}"/>
    <cellStyle name="Good" xfId="29" builtinId="26" customBuiltin="1"/>
    <cellStyle name="Good 2" xfId="61" xr:uid="{00000000-0005-0000-0000-000048000000}"/>
    <cellStyle name="Heading 1" xfId="30" builtinId="16" customBuiltin="1"/>
    <cellStyle name="Heading 1 2" xfId="57" xr:uid="{00000000-0005-0000-0000-00004A000000}"/>
    <cellStyle name="Heading 2" xfId="31" builtinId="17" customBuiltin="1"/>
    <cellStyle name="Heading 2 2" xfId="58" xr:uid="{00000000-0005-0000-0000-00004C000000}"/>
    <cellStyle name="Heading 3" xfId="32" builtinId="18" customBuiltin="1"/>
    <cellStyle name="Heading 3 2" xfId="59" xr:uid="{00000000-0005-0000-0000-00004E000000}"/>
    <cellStyle name="Heading 4" xfId="33" builtinId="19" customBuiltin="1"/>
    <cellStyle name="Heading 4 2" xfId="60" xr:uid="{00000000-0005-0000-0000-000050000000}"/>
    <cellStyle name="Input" xfId="34" builtinId="20" customBuiltin="1"/>
    <cellStyle name="Input 2" xfId="64" xr:uid="{00000000-0005-0000-0000-000052000000}"/>
    <cellStyle name="Linked Cell" xfId="35" builtinId="24" customBuiltin="1"/>
    <cellStyle name="Linked Cell 2" xfId="67" xr:uid="{00000000-0005-0000-0000-000054000000}"/>
    <cellStyle name="Neutral" xfId="36" builtinId="28" customBuiltin="1"/>
    <cellStyle name="Neutral 2" xfId="63" xr:uid="{00000000-0005-0000-0000-000056000000}"/>
    <cellStyle name="Normal" xfId="0" builtinId="0"/>
    <cellStyle name="Normal 10" xfId="121" xr:uid="{00000000-0005-0000-0000-000058000000}"/>
    <cellStyle name="Normal 11" xfId="122" xr:uid="{00000000-0005-0000-0000-000059000000}"/>
    <cellStyle name="Normal 12" xfId="123" xr:uid="{00000000-0005-0000-0000-00005A000000}"/>
    <cellStyle name="Normal 13" xfId="124" xr:uid="{00000000-0005-0000-0000-00005B000000}"/>
    <cellStyle name="Normal 2" xfId="44" xr:uid="{00000000-0005-0000-0000-00005C000000}"/>
    <cellStyle name="Normal 2 2" xfId="47" xr:uid="{00000000-0005-0000-0000-00005D000000}"/>
    <cellStyle name="Normal 2 3" xfId="45" xr:uid="{00000000-0005-0000-0000-00005E000000}"/>
    <cellStyle name="Normal 2 3 2" xfId="52" xr:uid="{00000000-0005-0000-0000-00005F000000}"/>
    <cellStyle name="Normal 3" xfId="37" xr:uid="{00000000-0005-0000-0000-000060000000}"/>
    <cellStyle name="Normal 4" xfId="43" xr:uid="{00000000-0005-0000-0000-000061000000}"/>
    <cellStyle name="Normal 4 2" xfId="53" xr:uid="{00000000-0005-0000-0000-000062000000}"/>
    <cellStyle name="Normal 4 2 2" xfId="102" xr:uid="{00000000-0005-0000-0000-000063000000}"/>
    <cellStyle name="Normal 4 3" xfId="51" xr:uid="{00000000-0005-0000-0000-000064000000}"/>
    <cellStyle name="Normal 4 3 2" xfId="101" xr:uid="{00000000-0005-0000-0000-000065000000}"/>
    <cellStyle name="Normal 4 4" xfId="100" xr:uid="{00000000-0005-0000-0000-000066000000}"/>
    <cellStyle name="Normal 5" xfId="49" xr:uid="{00000000-0005-0000-0000-000067000000}"/>
    <cellStyle name="Normal 6" xfId="55" xr:uid="{00000000-0005-0000-0000-000068000000}"/>
    <cellStyle name="Normal 6 2" xfId="104" xr:uid="{00000000-0005-0000-0000-000069000000}"/>
    <cellStyle name="Normal 7" xfId="54" xr:uid="{00000000-0005-0000-0000-00006A000000}"/>
    <cellStyle name="Normal 7 2" xfId="103" xr:uid="{00000000-0005-0000-0000-00006B000000}"/>
    <cellStyle name="Normal 8" xfId="98" xr:uid="{00000000-0005-0000-0000-00006C000000}"/>
    <cellStyle name="Normal 8 2" xfId="119" xr:uid="{00000000-0005-0000-0000-00006D000000}"/>
    <cellStyle name="Normal 9" xfId="99" xr:uid="{00000000-0005-0000-0000-00006E000000}"/>
    <cellStyle name="Normal 9 2" xfId="120" xr:uid="{00000000-0005-0000-0000-00006F000000}"/>
    <cellStyle name="Note" xfId="38" builtinId="10" customBuiltin="1"/>
    <cellStyle name="Note 2" xfId="70" xr:uid="{00000000-0005-0000-0000-000071000000}"/>
    <cellStyle name="Note 2 2" xfId="105" xr:uid="{00000000-0005-0000-0000-000072000000}"/>
    <cellStyle name="Output" xfId="39" builtinId="21" customBuiltin="1"/>
    <cellStyle name="Output 2" xfId="65" xr:uid="{00000000-0005-0000-0000-000074000000}"/>
    <cellStyle name="Percent" xfId="97" builtinId="5"/>
    <cellStyle name="Percent 2" xfId="118" xr:uid="{00000000-0005-0000-0000-000076000000}"/>
    <cellStyle name="Title" xfId="40" builtinId="15" customBuiltin="1"/>
    <cellStyle name="Title 2" xfId="56" xr:uid="{00000000-0005-0000-0000-000078000000}"/>
    <cellStyle name="Total" xfId="41" builtinId="25" customBuiltin="1"/>
    <cellStyle name="Total 2" xfId="72" xr:uid="{00000000-0005-0000-0000-00007A000000}"/>
    <cellStyle name="Warning Text" xfId="42" builtinId="11" customBuiltin="1"/>
    <cellStyle name="Warning Text 2" xfId="69" xr:uid="{00000000-0005-0000-0000-00007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2"/>
  <sheetViews>
    <sheetView tabSelected="1" view="pageBreakPreview" zoomScale="70" zoomScaleNormal="80" zoomScaleSheetLayoutView="70" workbookViewId="0">
      <pane ySplit="8" topLeftCell="A133" activePane="bottomLeft" state="frozen"/>
      <selection pane="bottomLeft" activeCell="D348" sqref="D348"/>
    </sheetView>
  </sheetViews>
  <sheetFormatPr defaultColWidth="9.6640625" defaultRowHeight="15.75"/>
  <cols>
    <col min="1" max="1" width="14.6640625" style="2" customWidth="1"/>
    <col min="2" max="2" width="13.44140625" style="2" customWidth="1"/>
    <col min="3" max="3" width="50" style="2" customWidth="1"/>
    <col min="4" max="4" width="10.88671875" style="91" customWidth="1"/>
    <col min="5" max="5" width="11.5546875" style="11" customWidth="1"/>
    <col min="6" max="6" width="9.6640625" style="11" bestFit="1" customWidth="1"/>
    <col min="7" max="7" width="9.33203125" style="10" customWidth="1"/>
    <col min="8" max="8" width="11.5546875" style="10" customWidth="1"/>
    <col min="9" max="9" width="12.44140625" style="10" customWidth="1"/>
    <col min="10" max="10" width="9.33203125" style="10" customWidth="1"/>
    <col min="11" max="11" width="11.6640625" style="10" customWidth="1"/>
    <col min="12" max="12" width="11.33203125" style="75" customWidth="1"/>
    <col min="13" max="13" width="16.21875" style="12" customWidth="1"/>
    <col min="14" max="14" width="14.88671875" style="23" customWidth="1"/>
    <col min="15" max="16" width="9.6640625" style="1"/>
    <col min="17" max="17" width="10.33203125" style="1" bestFit="1" customWidth="1"/>
    <col min="18" max="18" width="9.6640625" style="1"/>
    <col min="19" max="19" width="9.6640625" style="33"/>
    <col min="20" max="16384" width="9.6640625" style="1"/>
  </cols>
  <sheetData>
    <row r="1" spans="1:23">
      <c r="A1" s="28"/>
      <c r="B1" s="28"/>
      <c r="K1" s="29"/>
      <c r="L1" s="67"/>
      <c r="M1" s="30"/>
      <c r="N1" s="31"/>
    </row>
    <row r="2" spans="1:23" ht="20.25">
      <c r="C2" s="92" t="s">
        <v>0</v>
      </c>
      <c r="D2" s="87">
        <v>44683</v>
      </c>
      <c r="E2" s="87"/>
      <c r="F2" s="10"/>
      <c r="G2" s="12"/>
      <c r="H2" s="12"/>
      <c r="I2" s="12"/>
      <c r="J2" s="12"/>
      <c r="L2" s="68"/>
      <c r="N2" s="32"/>
    </row>
    <row r="3" spans="1:23" ht="21.75" thickBot="1">
      <c r="C3" s="92" t="s">
        <v>1</v>
      </c>
      <c r="D3" s="84" t="s">
        <v>2</v>
      </c>
      <c r="E3" s="84"/>
      <c r="F3" s="10"/>
      <c r="G3" s="12"/>
      <c r="H3" s="12"/>
      <c r="I3" s="12"/>
      <c r="J3" s="12"/>
      <c r="L3" s="68"/>
      <c r="M3" s="41" t="s">
        <v>3</v>
      </c>
      <c r="N3" s="42" t="s">
        <v>4</v>
      </c>
    </row>
    <row r="4" spans="1:23" ht="21">
      <c r="C4" s="92" t="s">
        <v>5</v>
      </c>
      <c r="D4" s="85" t="s">
        <v>6</v>
      </c>
      <c r="E4" s="85"/>
      <c r="F4" s="10"/>
      <c r="G4" s="12"/>
      <c r="H4" s="12"/>
      <c r="I4" s="12"/>
      <c r="J4" s="12"/>
      <c r="L4" s="68"/>
      <c r="M4" s="43" t="s">
        <v>7</v>
      </c>
      <c r="N4" s="44">
        <f>N479</f>
        <v>885850.36872626725</v>
      </c>
    </row>
    <row r="5" spans="1:23" ht="21">
      <c r="A5" s="40"/>
      <c r="B5" s="40"/>
      <c r="C5" s="11"/>
      <c r="D5" s="92"/>
      <c r="E5" s="86"/>
      <c r="F5" s="10"/>
      <c r="G5" s="12"/>
      <c r="H5" s="12"/>
      <c r="I5" s="12"/>
      <c r="J5" s="12"/>
      <c r="L5" s="68"/>
      <c r="M5" s="43" t="s">
        <v>8</v>
      </c>
      <c r="N5" s="44">
        <f>SUM(N480:N481)</f>
        <v>221462.59218156684</v>
      </c>
    </row>
    <row r="6" spans="1:23" ht="21">
      <c r="L6" s="69"/>
      <c r="M6" s="43" t="s">
        <v>9</v>
      </c>
      <c r="N6" s="44">
        <f>SUM(N4:N5)</f>
        <v>1107312.9609078341</v>
      </c>
    </row>
    <row r="7" spans="1:23" ht="16.5" customHeight="1">
      <c r="L7" s="68"/>
      <c r="N7" s="32"/>
    </row>
    <row r="8" spans="1:23" s="6" customFormat="1" ht="30.6" customHeight="1">
      <c r="A8" s="39" t="s">
        <v>10</v>
      </c>
      <c r="B8" s="39" t="s">
        <v>11</v>
      </c>
      <c r="C8" s="83" t="s">
        <v>12</v>
      </c>
      <c r="D8" s="39" t="s">
        <v>13</v>
      </c>
      <c r="E8" s="9" t="s">
        <v>14</v>
      </c>
      <c r="F8" s="9" t="s">
        <v>15</v>
      </c>
      <c r="G8" s="8" t="s">
        <v>16</v>
      </c>
      <c r="H8" s="8" t="s">
        <v>17</v>
      </c>
      <c r="I8" s="8" t="s">
        <v>18</v>
      </c>
      <c r="J8" s="8" t="s">
        <v>19</v>
      </c>
      <c r="K8" s="8" t="s">
        <v>20</v>
      </c>
      <c r="L8" s="70" t="s">
        <v>21</v>
      </c>
      <c r="M8" s="9" t="s">
        <v>22</v>
      </c>
      <c r="N8" s="8" t="s">
        <v>23</v>
      </c>
      <c r="O8" s="5"/>
      <c r="P8" s="5"/>
      <c r="Q8" s="5"/>
      <c r="R8" s="5"/>
      <c r="S8" s="34"/>
      <c r="T8" s="5"/>
      <c r="U8" s="5"/>
      <c r="V8" s="5"/>
      <c r="W8" s="5"/>
    </row>
    <row r="9" spans="1:23" s="4" customFormat="1">
      <c r="A9" s="7"/>
      <c r="B9" s="7"/>
      <c r="C9" s="7"/>
      <c r="D9" s="93"/>
      <c r="E9" s="13"/>
      <c r="F9" s="14"/>
      <c r="G9" s="15"/>
      <c r="H9" s="15"/>
      <c r="I9" s="15"/>
      <c r="J9" s="15"/>
      <c r="K9" s="15"/>
      <c r="L9" s="16"/>
      <c r="M9" s="17"/>
      <c r="N9" s="18"/>
      <c r="O9" s="3"/>
      <c r="P9" s="3"/>
      <c r="S9" s="35"/>
    </row>
    <row r="10" spans="1:23" s="4" customFormat="1">
      <c r="A10" s="56"/>
      <c r="B10" s="56"/>
      <c r="C10" s="56" t="s">
        <v>24</v>
      </c>
      <c r="D10" s="94"/>
      <c r="E10" s="19"/>
      <c r="F10" s="19"/>
      <c r="G10" s="19"/>
      <c r="H10" s="19"/>
      <c r="I10" s="19"/>
      <c r="J10" s="19"/>
      <c r="K10" s="19"/>
      <c r="L10" s="71"/>
      <c r="M10" s="19"/>
      <c r="N10" s="20">
        <f>SUM(M11:M20)</f>
        <v>60573</v>
      </c>
      <c r="O10" s="3" t="s">
        <v>25</v>
      </c>
      <c r="P10" s="3"/>
      <c r="S10" s="35"/>
    </row>
    <row r="11" spans="1:23" s="4" customFormat="1">
      <c r="A11" s="57"/>
      <c r="B11" s="57"/>
      <c r="C11" s="100"/>
      <c r="D11" s="95"/>
      <c r="E11" s="58"/>
      <c r="F11" s="59"/>
      <c r="G11" s="60"/>
      <c r="H11" s="60"/>
      <c r="I11" s="60"/>
      <c r="J11" s="60"/>
      <c r="K11" s="60"/>
      <c r="L11" s="61"/>
      <c r="M11" s="21"/>
      <c r="N11" s="22"/>
      <c r="O11" s="3"/>
      <c r="P11" s="3"/>
      <c r="S11" s="35"/>
    </row>
    <row r="12" spans="1:23" s="4" customFormat="1">
      <c r="A12" s="62"/>
      <c r="B12" s="62"/>
      <c r="C12" s="100" t="s">
        <v>26</v>
      </c>
      <c r="D12" s="63">
        <v>1</v>
      </c>
      <c r="E12" s="64">
        <v>0</v>
      </c>
      <c r="F12" s="25">
        <f>D12*(1+E12)</f>
        <v>1</v>
      </c>
      <c r="G12" s="65" t="s">
        <v>27</v>
      </c>
      <c r="H12" s="65"/>
      <c r="I12" s="65"/>
      <c r="J12" s="65"/>
      <c r="K12" s="65"/>
      <c r="L12" s="72"/>
      <c r="M12" s="66">
        <f t="shared" ref="M12:M18" si="0">L12*F12</f>
        <v>0</v>
      </c>
      <c r="N12" s="22"/>
      <c r="O12" s="3"/>
      <c r="P12" s="3"/>
      <c r="S12" s="35"/>
    </row>
    <row r="13" spans="1:23" s="4" customFormat="1">
      <c r="A13" s="62"/>
      <c r="B13" s="62"/>
      <c r="C13" s="100" t="s">
        <v>28</v>
      </c>
      <c r="D13" s="63">
        <v>1</v>
      </c>
      <c r="E13" s="64">
        <v>0</v>
      </c>
      <c r="F13" s="25">
        <f t="shared" ref="F13:F18" si="1">D13*(1+E13)</f>
        <v>1</v>
      </c>
      <c r="G13" s="65" t="s">
        <v>27</v>
      </c>
      <c r="H13" s="65"/>
      <c r="I13" s="65"/>
      <c r="J13" s="65"/>
      <c r="K13" s="65"/>
      <c r="L13" s="72">
        <v>2000</v>
      </c>
      <c r="M13" s="66">
        <f t="shared" si="0"/>
        <v>2000</v>
      </c>
      <c r="N13" s="22"/>
      <c r="O13" s="3"/>
      <c r="P13" s="3"/>
      <c r="S13" s="35"/>
    </row>
    <row r="14" spans="1:23" s="4" customFormat="1">
      <c r="A14" s="62"/>
      <c r="B14" s="62"/>
      <c r="C14" s="100" t="s">
        <v>29</v>
      </c>
      <c r="D14" s="63">
        <v>1</v>
      </c>
      <c r="E14" s="64">
        <v>0</v>
      </c>
      <c r="F14" s="25">
        <f t="shared" si="1"/>
        <v>1</v>
      </c>
      <c r="G14" s="65" t="s">
        <v>27</v>
      </c>
      <c r="H14" s="65"/>
      <c r="I14" s="65"/>
      <c r="J14" s="65"/>
      <c r="K14" s="65"/>
      <c r="L14" s="72">
        <v>5323</v>
      </c>
      <c r="M14" s="66">
        <f t="shared" si="0"/>
        <v>5323</v>
      </c>
      <c r="N14" s="22"/>
      <c r="O14" s="3"/>
      <c r="P14" s="3"/>
      <c r="S14" s="35"/>
    </row>
    <row r="15" spans="1:23" s="4" customFormat="1">
      <c r="A15" s="62"/>
      <c r="B15" s="62"/>
      <c r="C15" s="100" t="s">
        <v>30</v>
      </c>
      <c r="D15" s="63">
        <v>1</v>
      </c>
      <c r="E15" s="64">
        <v>0</v>
      </c>
      <c r="F15" s="25">
        <f t="shared" si="1"/>
        <v>1</v>
      </c>
      <c r="G15" s="65" t="s">
        <v>27</v>
      </c>
      <c r="H15" s="65"/>
      <c r="I15" s="65"/>
      <c r="J15" s="65"/>
      <c r="K15" s="65"/>
      <c r="L15" s="72">
        <v>52000</v>
      </c>
      <c r="M15" s="66">
        <f t="shared" si="0"/>
        <v>52000</v>
      </c>
      <c r="N15" s="22"/>
      <c r="O15" s="3"/>
      <c r="P15" s="3"/>
      <c r="S15" s="35"/>
    </row>
    <row r="16" spans="1:23" s="4" customFormat="1">
      <c r="A16" s="62"/>
      <c r="B16" s="62"/>
      <c r="C16" s="100" t="s">
        <v>31</v>
      </c>
      <c r="D16" s="63">
        <v>1</v>
      </c>
      <c r="E16" s="64">
        <v>0</v>
      </c>
      <c r="F16" s="25">
        <f t="shared" si="1"/>
        <v>1</v>
      </c>
      <c r="G16" s="65" t="s">
        <v>27</v>
      </c>
      <c r="H16" s="65"/>
      <c r="I16" s="65"/>
      <c r="J16" s="65"/>
      <c r="K16" s="65"/>
      <c r="L16" s="72"/>
      <c r="M16" s="66">
        <f t="shared" si="0"/>
        <v>0</v>
      </c>
      <c r="N16" s="22"/>
      <c r="O16" s="3"/>
      <c r="P16" s="3"/>
      <c r="S16" s="35"/>
    </row>
    <row r="17" spans="1:19" s="4" customFormat="1">
      <c r="A17" s="62"/>
      <c r="B17" s="62"/>
      <c r="C17" s="100" t="s">
        <v>32</v>
      </c>
      <c r="D17" s="63">
        <v>1</v>
      </c>
      <c r="E17" s="64">
        <v>0</v>
      </c>
      <c r="F17" s="25">
        <f t="shared" si="1"/>
        <v>1</v>
      </c>
      <c r="G17" s="65" t="s">
        <v>27</v>
      </c>
      <c r="H17" s="65"/>
      <c r="I17" s="65"/>
      <c r="J17" s="65"/>
      <c r="K17" s="65"/>
      <c r="L17" s="72">
        <v>1250</v>
      </c>
      <c r="M17" s="66">
        <f>L17*F17</f>
        <v>1250</v>
      </c>
      <c r="N17" s="22"/>
      <c r="O17" s="3"/>
      <c r="P17" s="3"/>
      <c r="S17" s="35"/>
    </row>
    <row r="18" spans="1:19" s="4" customFormat="1">
      <c r="A18" s="62"/>
      <c r="B18" s="62"/>
      <c r="C18" s="100" t="s">
        <v>33</v>
      </c>
      <c r="D18" s="63">
        <v>1</v>
      </c>
      <c r="E18" s="64">
        <v>0</v>
      </c>
      <c r="F18" s="25">
        <f t="shared" si="1"/>
        <v>1</v>
      </c>
      <c r="G18" s="65" t="s">
        <v>27</v>
      </c>
      <c r="H18" s="65"/>
      <c r="I18" s="65"/>
      <c r="J18" s="65"/>
      <c r="K18" s="65"/>
      <c r="L18" s="72"/>
      <c r="M18" s="66">
        <f t="shared" si="0"/>
        <v>0</v>
      </c>
      <c r="N18" s="22"/>
      <c r="O18" s="3"/>
      <c r="P18" s="3"/>
      <c r="S18" s="35"/>
    </row>
    <row r="19" spans="1:19" s="4" customFormat="1">
      <c r="A19" s="62"/>
      <c r="B19" s="62"/>
      <c r="C19" s="100" t="s">
        <v>34</v>
      </c>
      <c r="D19" s="63"/>
      <c r="E19" s="64"/>
      <c r="F19" s="25"/>
      <c r="G19" s="65"/>
      <c r="H19" s="65"/>
      <c r="I19" s="65"/>
      <c r="J19" s="65"/>
      <c r="K19" s="65"/>
      <c r="L19" s="72"/>
      <c r="M19" s="66"/>
      <c r="N19" s="22"/>
      <c r="O19" s="3"/>
      <c r="P19" s="3"/>
      <c r="S19" s="35"/>
    </row>
    <row r="20" spans="1:19" s="4" customFormat="1">
      <c r="A20" s="62"/>
      <c r="B20" s="62"/>
      <c r="C20" s="62" t="s">
        <v>35</v>
      </c>
      <c r="D20" s="63">
        <v>1</v>
      </c>
      <c r="E20" s="64">
        <v>0</v>
      </c>
      <c r="F20" s="25">
        <f>D20*(1+E20)</f>
        <v>1</v>
      </c>
      <c r="G20" s="65" t="s">
        <v>27</v>
      </c>
      <c r="H20" s="65"/>
      <c r="I20" s="65"/>
      <c r="J20" s="65"/>
      <c r="K20" s="65"/>
      <c r="L20" s="72"/>
      <c r="M20" s="66">
        <f>L20*F20</f>
        <v>0</v>
      </c>
      <c r="N20" s="22"/>
      <c r="O20" s="3"/>
      <c r="P20" s="3"/>
      <c r="S20" s="35"/>
    </row>
    <row r="21" spans="1:19" s="4" customFormat="1">
      <c r="A21" s="56"/>
      <c r="B21" s="56"/>
      <c r="C21" s="56" t="s">
        <v>36</v>
      </c>
      <c r="D21" s="94"/>
      <c r="E21" s="19"/>
      <c r="F21" s="19"/>
      <c r="G21" s="19"/>
      <c r="H21" s="19"/>
      <c r="I21" s="19"/>
      <c r="J21" s="19"/>
      <c r="K21" s="19"/>
      <c r="L21" s="71"/>
      <c r="M21" s="19"/>
      <c r="N21" s="20">
        <f>SUM(M22:M78)</f>
        <v>93288.279735000004</v>
      </c>
      <c r="O21" s="3" t="s">
        <v>25</v>
      </c>
      <c r="P21" s="3"/>
      <c r="S21" s="35"/>
    </row>
    <row r="22" spans="1:19" s="4" customFormat="1" ht="15.75" customHeight="1">
      <c r="A22" s="62"/>
      <c r="B22" s="62"/>
      <c r="C22" s="62"/>
      <c r="D22" s="63"/>
      <c r="E22" s="64"/>
      <c r="F22" s="25"/>
      <c r="G22" s="65"/>
      <c r="H22" s="65"/>
      <c r="I22" s="65"/>
      <c r="J22" s="65"/>
      <c r="K22" s="65"/>
      <c r="L22" s="72"/>
      <c r="M22" s="66"/>
      <c r="N22" s="22"/>
      <c r="O22" s="3"/>
      <c r="P22" s="3"/>
      <c r="S22" s="35"/>
    </row>
    <row r="23" spans="1:19" s="4" customFormat="1" ht="15.75" customHeight="1">
      <c r="A23" s="78"/>
      <c r="B23" s="78"/>
      <c r="C23" s="99" t="s">
        <v>37</v>
      </c>
      <c r="D23" s="101"/>
      <c r="E23" s="101"/>
      <c r="F23" s="101"/>
      <c r="G23" s="102"/>
      <c r="H23" s="80"/>
      <c r="I23" s="80"/>
      <c r="J23" s="80"/>
      <c r="K23" s="80"/>
      <c r="L23" s="27"/>
      <c r="M23" s="81"/>
      <c r="N23" s="82"/>
      <c r="O23" s="3"/>
      <c r="P23" s="3"/>
      <c r="S23" s="35"/>
    </row>
    <row r="24" spans="1:19" s="4" customFormat="1" ht="15.75" customHeight="1">
      <c r="A24" s="78" t="s">
        <v>38</v>
      </c>
      <c r="B24" s="78" t="s">
        <v>39</v>
      </c>
      <c r="C24" s="100" t="s">
        <v>40</v>
      </c>
      <c r="D24" s="104">
        <v>1</v>
      </c>
      <c r="E24" s="26">
        <v>0.05</v>
      </c>
      <c r="F24" s="79">
        <f t="shared" ref="F24:F472" si="2">D24*(1+E24)</f>
        <v>1.05</v>
      </c>
      <c r="G24" s="90" t="s">
        <v>41</v>
      </c>
      <c r="H24" s="80">
        <v>1000</v>
      </c>
      <c r="I24" s="80">
        <f t="shared" ref="I24:I61" si="3">H24*F24</f>
        <v>1050</v>
      </c>
      <c r="J24" s="80">
        <v>0</v>
      </c>
      <c r="K24" s="80">
        <f t="shared" ref="K24:K469" si="4">J24*F24</f>
        <v>0</v>
      </c>
      <c r="L24" s="27">
        <f>(H24+J24)</f>
        <v>1000</v>
      </c>
      <c r="M24" s="81">
        <f t="shared" ref="M24:M472" si="5">L24*F24</f>
        <v>1050</v>
      </c>
      <c r="N24" s="82"/>
      <c r="O24" s="3"/>
      <c r="P24" s="3"/>
      <c r="S24" s="35"/>
    </row>
    <row r="25" spans="1:19" s="4" customFormat="1" ht="15.75" customHeight="1">
      <c r="A25" s="78" t="s">
        <v>38</v>
      </c>
      <c r="B25" s="78" t="s">
        <v>39</v>
      </c>
      <c r="C25" s="100" t="s">
        <v>42</v>
      </c>
      <c r="D25" s="104">
        <v>1</v>
      </c>
      <c r="E25" s="26">
        <v>0.05</v>
      </c>
      <c r="F25" s="79">
        <f t="shared" si="2"/>
        <v>1.05</v>
      </c>
      <c r="G25" s="90" t="s">
        <v>27</v>
      </c>
      <c r="H25" s="80">
        <v>400</v>
      </c>
      <c r="I25" s="80">
        <f t="shared" si="3"/>
        <v>420</v>
      </c>
      <c r="J25" s="80">
        <v>0</v>
      </c>
      <c r="K25" s="80">
        <f t="shared" si="4"/>
        <v>0</v>
      </c>
      <c r="L25" s="27">
        <f t="shared" ref="L25:L472" si="6">(H25+J25)</f>
        <v>400</v>
      </c>
      <c r="M25" s="81">
        <f t="shared" si="5"/>
        <v>420</v>
      </c>
      <c r="N25" s="82"/>
      <c r="O25" s="3"/>
      <c r="P25" s="3"/>
      <c r="S25" s="35"/>
    </row>
    <row r="26" spans="1:19" s="4" customFormat="1" ht="15.75" customHeight="1">
      <c r="A26" s="78" t="s">
        <v>38</v>
      </c>
      <c r="B26" s="78" t="s">
        <v>39</v>
      </c>
      <c r="C26" s="100" t="s">
        <v>43</v>
      </c>
      <c r="D26" s="104">
        <v>1</v>
      </c>
      <c r="E26" s="26">
        <v>0.05</v>
      </c>
      <c r="F26" s="79">
        <f t="shared" si="2"/>
        <v>1.05</v>
      </c>
      <c r="G26" s="90" t="s">
        <v>41</v>
      </c>
      <c r="H26" s="80">
        <v>50</v>
      </c>
      <c r="I26" s="80">
        <f t="shared" si="3"/>
        <v>52.5</v>
      </c>
      <c r="J26" s="80">
        <v>0</v>
      </c>
      <c r="K26" s="80">
        <f t="shared" si="4"/>
        <v>0</v>
      </c>
      <c r="L26" s="27">
        <f t="shared" si="6"/>
        <v>50</v>
      </c>
      <c r="M26" s="81">
        <f t="shared" si="5"/>
        <v>52.5</v>
      </c>
      <c r="N26" s="82"/>
      <c r="O26" s="3"/>
      <c r="P26" s="3"/>
      <c r="S26" s="35"/>
    </row>
    <row r="27" spans="1:19" s="4" customFormat="1" ht="15.75" customHeight="1">
      <c r="A27" s="78" t="s">
        <v>38</v>
      </c>
      <c r="B27" s="78" t="s">
        <v>39</v>
      </c>
      <c r="C27" s="100" t="s">
        <v>44</v>
      </c>
      <c r="D27" s="104">
        <v>1</v>
      </c>
      <c r="E27" s="26">
        <v>0.05</v>
      </c>
      <c r="F27" s="79">
        <f t="shared" si="2"/>
        <v>1.05</v>
      </c>
      <c r="G27" s="90" t="s">
        <v>41</v>
      </c>
      <c r="H27" s="80">
        <v>85</v>
      </c>
      <c r="I27" s="80">
        <f t="shared" si="3"/>
        <v>89.25</v>
      </c>
      <c r="J27" s="80">
        <v>0</v>
      </c>
      <c r="K27" s="80">
        <f t="shared" si="4"/>
        <v>0</v>
      </c>
      <c r="L27" s="27">
        <f t="shared" si="6"/>
        <v>85</v>
      </c>
      <c r="M27" s="81">
        <f t="shared" si="5"/>
        <v>89.25</v>
      </c>
      <c r="N27" s="82"/>
      <c r="O27" s="3"/>
      <c r="P27" s="3"/>
      <c r="S27" s="35"/>
    </row>
    <row r="28" spans="1:19" s="4" customFormat="1" ht="15.75" customHeight="1">
      <c r="A28" s="78" t="s">
        <v>38</v>
      </c>
      <c r="B28" s="78" t="s">
        <v>39</v>
      </c>
      <c r="C28" s="100" t="s">
        <v>45</v>
      </c>
      <c r="D28" s="104">
        <v>1</v>
      </c>
      <c r="E28" s="26">
        <v>0.05</v>
      </c>
      <c r="F28" s="79">
        <f t="shared" si="2"/>
        <v>1.05</v>
      </c>
      <c r="G28" s="90" t="s">
        <v>41</v>
      </c>
      <c r="H28" s="80">
        <v>150</v>
      </c>
      <c r="I28" s="80">
        <f t="shared" si="3"/>
        <v>157.5</v>
      </c>
      <c r="J28" s="80">
        <v>0</v>
      </c>
      <c r="K28" s="80">
        <f t="shared" si="4"/>
        <v>0</v>
      </c>
      <c r="L28" s="27">
        <f t="shared" si="6"/>
        <v>150</v>
      </c>
      <c r="M28" s="81">
        <f t="shared" si="5"/>
        <v>157.5</v>
      </c>
      <c r="N28" s="82"/>
      <c r="O28" s="3"/>
      <c r="P28" s="3"/>
      <c r="S28" s="35"/>
    </row>
    <row r="29" spans="1:19" s="4" customFormat="1" ht="15.75" customHeight="1">
      <c r="A29" s="78" t="s">
        <v>38</v>
      </c>
      <c r="B29" s="78" t="s">
        <v>39</v>
      </c>
      <c r="C29" s="100" t="s">
        <v>46</v>
      </c>
      <c r="D29" s="104">
        <v>151.80000000000001</v>
      </c>
      <c r="E29" s="26">
        <v>0.05</v>
      </c>
      <c r="F29" s="79">
        <f t="shared" si="2"/>
        <v>159.39000000000001</v>
      </c>
      <c r="G29" s="90" t="s">
        <v>47</v>
      </c>
      <c r="H29" s="80">
        <v>6.5</v>
      </c>
      <c r="I29" s="80">
        <f t="shared" si="3"/>
        <v>1036.0350000000001</v>
      </c>
      <c r="J29" s="80">
        <v>0</v>
      </c>
      <c r="K29" s="80">
        <f t="shared" si="4"/>
        <v>0</v>
      </c>
      <c r="L29" s="27">
        <f t="shared" si="6"/>
        <v>6.5</v>
      </c>
      <c r="M29" s="81">
        <f t="shared" si="5"/>
        <v>1036.0350000000001</v>
      </c>
      <c r="N29" s="82"/>
      <c r="O29" s="3"/>
      <c r="P29" s="3"/>
      <c r="S29" s="35"/>
    </row>
    <row r="30" spans="1:19" s="4" customFormat="1" ht="15.75" customHeight="1">
      <c r="A30" s="78" t="s">
        <v>38</v>
      </c>
      <c r="B30" s="78" t="s">
        <v>39</v>
      </c>
      <c r="C30" s="100" t="s">
        <v>48</v>
      </c>
      <c r="D30" s="104">
        <v>373.44</v>
      </c>
      <c r="E30" s="26">
        <v>0.05</v>
      </c>
      <c r="F30" s="79">
        <f t="shared" si="2"/>
        <v>392.11200000000002</v>
      </c>
      <c r="G30" s="90" t="s">
        <v>49</v>
      </c>
      <c r="H30" s="80">
        <v>3.5</v>
      </c>
      <c r="I30" s="80">
        <f t="shared" si="3"/>
        <v>1372.3920000000001</v>
      </c>
      <c r="J30" s="80">
        <v>0</v>
      </c>
      <c r="K30" s="80">
        <f t="shared" si="4"/>
        <v>0</v>
      </c>
      <c r="L30" s="27">
        <f t="shared" si="6"/>
        <v>3.5</v>
      </c>
      <c r="M30" s="81">
        <f t="shared" si="5"/>
        <v>1372.3920000000001</v>
      </c>
      <c r="N30" s="82"/>
      <c r="O30" s="3"/>
      <c r="P30" s="3"/>
      <c r="S30" s="35"/>
    </row>
    <row r="31" spans="1:19" s="4" customFormat="1" ht="15.75" customHeight="1">
      <c r="A31" s="78" t="s">
        <v>38</v>
      </c>
      <c r="B31" s="78" t="s">
        <v>39</v>
      </c>
      <c r="C31" s="100" t="s">
        <v>50</v>
      </c>
      <c r="D31" s="104">
        <v>28.41</v>
      </c>
      <c r="E31" s="26">
        <v>0.05</v>
      </c>
      <c r="F31" s="79">
        <f t="shared" si="2"/>
        <v>29.830500000000001</v>
      </c>
      <c r="G31" s="90" t="s">
        <v>49</v>
      </c>
      <c r="H31" s="80">
        <v>2.5</v>
      </c>
      <c r="I31" s="80">
        <f t="shared" si="3"/>
        <v>74.576250000000002</v>
      </c>
      <c r="J31" s="80">
        <v>0</v>
      </c>
      <c r="K31" s="80">
        <f t="shared" si="4"/>
        <v>0</v>
      </c>
      <c r="L31" s="27">
        <f t="shared" si="6"/>
        <v>2.5</v>
      </c>
      <c r="M31" s="81">
        <f t="shared" si="5"/>
        <v>74.576250000000002</v>
      </c>
      <c r="N31" s="82"/>
      <c r="O31" s="3"/>
      <c r="P31" s="3"/>
      <c r="S31" s="35"/>
    </row>
    <row r="32" spans="1:19" s="4" customFormat="1" ht="15.75" customHeight="1">
      <c r="A32" s="78" t="s">
        <v>38</v>
      </c>
      <c r="B32" s="78" t="s">
        <v>39</v>
      </c>
      <c r="C32" s="100" t="s">
        <v>51</v>
      </c>
      <c r="D32" s="104">
        <v>1</v>
      </c>
      <c r="E32" s="26">
        <v>0.05</v>
      </c>
      <c r="F32" s="79">
        <f t="shared" si="2"/>
        <v>1.05</v>
      </c>
      <c r="G32" s="90" t="s">
        <v>41</v>
      </c>
      <c r="H32" s="80">
        <v>50</v>
      </c>
      <c r="I32" s="80">
        <f t="shared" si="3"/>
        <v>52.5</v>
      </c>
      <c r="J32" s="80">
        <v>0</v>
      </c>
      <c r="K32" s="80">
        <f t="shared" si="4"/>
        <v>0</v>
      </c>
      <c r="L32" s="27">
        <f t="shared" si="6"/>
        <v>50</v>
      </c>
      <c r="M32" s="81">
        <f t="shared" si="5"/>
        <v>52.5</v>
      </c>
      <c r="N32" s="82"/>
      <c r="O32" s="3"/>
      <c r="P32" s="3"/>
      <c r="S32" s="35"/>
    </row>
    <row r="33" spans="1:19" s="4" customFormat="1" ht="15.75" customHeight="1">
      <c r="A33" s="78" t="s">
        <v>38</v>
      </c>
      <c r="B33" s="78" t="s">
        <v>39</v>
      </c>
      <c r="C33" s="100" t="s">
        <v>52</v>
      </c>
      <c r="D33" s="104">
        <v>874.23</v>
      </c>
      <c r="E33" s="26">
        <v>0.05</v>
      </c>
      <c r="F33" s="79">
        <f t="shared" si="2"/>
        <v>917.94150000000002</v>
      </c>
      <c r="G33" s="90" t="s">
        <v>49</v>
      </c>
      <c r="H33" s="80">
        <v>2.5</v>
      </c>
      <c r="I33" s="80">
        <f t="shared" si="3"/>
        <v>2294.8537500000002</v>
      </c>
      <c r="J33" s="80">
        <v>0</v>
      </c>
      <c r="K33" s="80">
        <f t="shared" si="4"/>
        <v>0</v>
      </c>
      <c r="L33" s="27">
        <f t="shared" si="6"/>
        <v>2.5</v>
      </c>
      <c r="M33" s="81">
        <f t="shared" si="5"/>
        <v>2294.8537500000002</v>
      </c>
      <c r="N33" s="82"/>
      <c r="O33" s="3"/>
      <c r="P33" s="3"/>
      <c r="S33" s="35"/>
    </row>
    <row r="34" spans="1:19" s="4" customFormat="1" ht="15.75" customHeight="1">
      <c r="A34" s="78" t="s">
        <v>38</v>
      </c>
      <c r="B34" s="78" t="s">
        <v>39</v>
      </c>
      <c r="C34" s="100" t="s">
        <v>53</v>
      </c>
      <c r="D34" s="104">
        <v>1</v>
      </c>
      <c r="E34" s="26">
        <v>0.05</v>
      </c>
      <c r="F34" s="79">
        <f t="shared" si="2"/>
        <v>1.05</v>
      </c>
      <c r="G34" s="90" t="s">
        <v>41</v>
      </c>
      <c r="H34" s="80">
        <v>200</v>
      </c>
      <c r="I34" s="80">
        <f t="shared" si="3"/>
        <v>210</v>
      </c>
      <c r="J34" s="80">
        <v>0</v>
      </c>
      <c r="K34" s="80">
        <f t="shared" si="4"/>
        <v>0</v>
      </c>
      <c r="L34" s="27">
        <f t="shared" si="6"/>
        <v>200</v>
      </c>
      <c r="M34" s="81">
        <f t="shared" si="5"/>
        <v>210</v>
      </c>
      <c r="N34" s="82"/>
      <c r="O34" s="3"/>
      <c r="P34" s="3"/>
      <c r="S34" s="35"/>
    </row>
    <row r="35" spans="1:19" s="4" customFormat="1" ht="15.75" customHeight="1">
      <c r="A35" s="78" t="s">
        <v>38</v>
      </c>
      <c r="B35" s="78" t="s">
        <v>39</v>
      </c>
      <c r="C35" s="100" t="s">
        <v>54</v>
      </c>
      <c r="D35" s="104">
        <f>1560.53*10</f>
        <v>15605.3</v>
      </c>
      <c r="E35" s="26">
        <v>0.05</v>
      </c>
      <c r="F35" s="79">
        <f t="shared" si="2"/>
        <v>16385.564999999999</v>
      </c>
      <c r="G35" s="90" t="s">
        <v>47</v>
      </c>
      <c r="H35" s="80">
        <v>0.95</v>
      </c>
      <c r="I35" s="80">
        <f t="shared" si="3"/>
        <v>15566.286749999997</v>
      </c>
      <c r="J35" s="80">
        <v>0</v>
      </c>
      <c r="K35" s="80">
        <f t="shared" si="4"/>
        <v>0</v>
      </c>
      <c r="L35" s="27">
        <f t="shared" si="6"/>
        <v>0.95</v>
      </c>
      <c r="M35" s="81">
        <f t="shared" si="5"/>
        <v>15566.286749999997</v>
      </c>
      <c r="N35" s="82"/>
      <c r="O35" s="3"/>
      <c r="P35" s="3"/>
      <c r="S35" s="35"/>
    </row>
    <row r="36" spans="1:19" s="4" customFormat="1" ht="15.75" customHeight="1">
      <c r="A36" s="78" t="s">
        <v>38</v>
      </c>
      <c r="B36" s="78" t="s">
        <v>39</v>
      </c>
      <c r="C36" s="100" t="s">
        <v>55</v>
      </c>
      <c r="D36" s="104">
        <v>1</v>
      </c>
      <c r="E36" s="26">
        <v>0.05</v>
      </c>
      <c r="F36" s="79">
        <f t="shared" si="2"/>
        <v>1.05</v>
      </c>
      <c r="G36" s="90" t="s">
        <v>41</v>
      </c>
      <c r="H36" s="80">
        <v>250</v>
      </c>
      <c r="I36" s="80">
        <f t="shared" si="3"/>
        <v>262.5</v>
      </c>
      <c r="J36" s="80">
        <v>0</v>
      </c>
      <c r="K36" s="80">
        <f t="shared" si="4"/>
        <v>0</v>
      </c>
      <c r="L36" s="27">
        <f t="shared" si="6"/>
        <v>250</v>
      </c>
      <c r="M36" s="81">
        <f t="shared" si="5"/>
        <v>262.5</v>
      </c>
      <c r="N36" s="82"/>
      <c r="O36" s="3"/>
      <c r="P36" s="3"/>
      <c r="S36" s="35"/>
    </row>
    <row r="37" spans="1:19" s="4" customFormat="1" ht="15.75" customHeight="1">
      <c r="A37" s="78" t="s">
        <v>38</v>
      </c>
      <c r="B37" s="78" t="s">
        <v>39</v>
      </c>
      <c r="C37" s="100" t="s">
        <v>56</v>
      </c>
      <c r="D37" s="104">
        <v>65.319999999999993</v>
      </c>
      <c r="E37" s="26">
        <v>0.05</v>
      </c>
      <c r="F37" s="79">
        <f t="shared" si="2"/>
        <v>68.585999999999999</v>
      </c>
      <c r="G37" s="90" t="s">
        <v>49</v>
      </c>
      <c r="H37" s="80">
        <v>2.5</v>
      </c>
      <c r="I37" s="80">
        <f t="shared" si="3"/>
        <v>171.465</v>
      </c>
      <c r="J37" s="80">
        <v>0</v>
      </c>
      <c r="K37" s="80">
        <f t="shared" si="4"/>
        <v>0</v>
      </c>
      <c r="L37" s="27">
        <f t="shared" si="6"/>
        <v>2.5</v>
      </c>
      <c r="M37" s="81">
        <f t="shared" si="5"/>
        <v>171.465</v>
      </c>
      <c r="N37" s="82"/>
      <c r="O37" s="3"/>
      <c r="P37" s="3"/>
      <c r="S37" s="35"/>
    </row>
    <row r="38" spans="1:19" s="4" customFormat="1" ht="15.75" customHeight="1">
      <c r="A38" s="78" t="s">
        <v>38</v>
      </c>
      <c r="B38" s="78" t="s">
        <v>39</v>
      </c>
      <c r="C38" s="100" t="s">
        <v>57</v>
      </c>
      <c r="D38" s="104">
        <v>1</v>
      </c>
      <c r="E38" s="26">
        <v>0.05</v>
      </c>
      <c r="F38" s="79">
        <f t="shared" si="2"/>
        <v>1.05</v>
      </c>
      <c r="G38" s="90" t="s">
        <v>41</v>
      </c>
      <c r="H38" s="80">
        <v>3000</v>
      </c>
      <c r="I38" s="80">
        <f t="shared" si="3"/>
        <v>3150</v>
      </c>
      <c r="J38" s="80">
        <v>0</v>
      </c>
      <c r="K38" s="80">
        <f t="shared" si="4"/>
        <v>0</v>
      </c>
      <c r="L38" s="27">
        <f t="shared" si="6"/>
        <v>3000</v>
      </c>
      <c r="M38" s="81">
        <f t="shared" si="5"/>
        <v>3150</v>
      </c>
      <c r="N38" s="82"/>
      <c r="O38" s="3"/>
      <c r="P38" s="3"/>
      <c r="S38" s="35"/>
    </row>
    <row r="39" spans="1:19" s="4" customFormat="1" ht="15.75" customHeight="1">
      <c r="A39" s="78" t="s">
        <v>38</v>
      </c>
      <c r="B39" s="78" t="s">
        <v>39</v>
      </c>
      <c r="C39" s="100" t="s">
        <v>58</v>
      </c>
      <c r="D39" s="104">
        <v>15.07</v>
      </c>
      <c r="E39" s="26">
        <v>0.05</v>
      </c>
      <c r="F39" s="79">
        <f t="shared" si="2"/>
        <v>15.823500000000001</v>
      </c>
      <c r="G39" s="90" t="s">
        <v>47</v>
      </c>
      <c r="H39" s="80">
        <v>4.5</v>
      </c>
      <c r="I39" s="80">
        <f t="shared" si="3"/>
        <v>71.205750000000009</v>
      </c>
      <c r="J39" s="80">
        <v>0</v>
      </c>
      <c r="K39" s="80">
        <f t="shared" si="4"/>
        <v>0</v>
      </c>
      <c r="L39" s="27">
        <f t="shared" si="6"/>
        <v>4.5</v>
      </c>
      <c r="M39" s="81">
        <f t="shared" si="5"/>
        <v>71.205750000000009</v>
      </c>
      <c r="N39" s="82"/>
      <c r="O39" s="3"/>
      <c r="P39" s="3"/>
      <c r="S39" s="35"/>
    </row>
    <row r="40" spans="1:19" s="4" customFormat="1" ht="15.75" customHeight="1">
      <c r="A40" s="78" t="s">
        <v>38</v>
      </c>
      <c r="B40" s="78" t="s">
        <v>39</v>
      </c>
      <c r="C40" s="100" t="s">
        <v>59</v>
      </c>
      <c r="D40" s="104">
        <v>29</v>
      </c>
      <c r="E40" s="26">
        <v>0.05</v>
      </c>
      <c r="F40" s="79">
        <f t="shared" si="2"/>
        <v>30.450000000000003</v>
      </c>
      <c r="G40" s="90" t="s">
        <v>41</v>
      </c>
      <c r="H40" s="80">
        <v>150</v>
      </c>
      <c r="I40" s="80">
        <f t="shared" si="3"/>
        <v>4567.5</v>
      </c>
      <c r="J40" s="80">
        <v>0</v>
      </c>
      <c r="K40" s="80">
        <f t="shared" si="4"/>
        <v>0</v>
      </c>
      <c r="L40" s="27">
        <f t="shared" si="6"/>
        <v>150</v>
      </c>
      <c r="M40" s="81">
        <f t="shared" si="5"/>
        <v>4567.5</v>
      </c>
      <c r="N40" s="82"/>
      <c r="O40" s="3"/>
      <c r="P40" s="3"/>
      <c r="S40" s="35"/>
    </row>
    <row r="41" spans="1:19" s="4" customFormat="1" ht="15.75" customHeight="1">
      <c r="A41" s="78" t="s">
        <v>38</v>
      </c>
      <c r="B41" s="78" t="s">
        <v>39</v>
      </c>
      <c r="C41" s="100" t="s">
        <v>60</v>
      </c>
      <c r="D41" s="104">
        <v>1</v>
      </c>
      <c r="E41" s="26">
        <v>0.05</v>
      </c>
      <c r="F41" s="79">
        <f t="shared" si="2"/>
        <v>1.05</v>
      </c>
      <c r="G41" s="90" t="s">
        <v>41</v>
      </c>
      <c r="H41" s="80">
        <v>300</v>
      </c>
      <c r="I41" s="80">
        <f t="shared" si="3"/>
        <v>315</v>
      </c>
      <c r="J41" s="80">
        <v>0</v>
      </c>
      <c r="K41" s="80">
        <f t="shared" si="4"/>
        <v>0</v>
      </c>
      <c r="L41" s="27">
        <f t="shared" si="6"/>
        <v>300</v>
      </c>
      <c r="M41" s="81">
        <f t="shared" si="5"/>
        <v>315</v>
      </c>
      <c r="N41" s="82"/>
      <c r="O41" s="3"/>
      <c r="P41" s="3"/>
      <c r="S41" s="35"/>
    </row>
    <row r="42" spans="1:19" s="4" customFormat="1" ht="15.75" customHeight="1">
      <c r="A42" s="78" t="s">
        <v>38</v>
      </c>
      <c r="B42" s="78" t="s">
        <v>39</v>
      </c>
      <c r="C42" s="100" t="s">
        <v>61</v>
      </c>
      <c r="D42" s="104">
        <v>2</v>
      </c>
      <c r="E42" s="26">
        <v>0.05</v>
      </c>
      <c r="F42" s="79">
        <f t="shared" ref="F42:F57" si="7">D42*(1+E42)</f>
        <v>2.1</v>
      </c>
      <c r="G42" s="90" t="s">
        <v>41</v>
      </c>
      <c r="H42" s="80">
        <v>150</v>
      </c>
      <c r="I42" s="80">
        <f t="shared" ref="I42:I57" si="8">H42*F42</f>
        <v>315</v>
      </c>
      <c r="J42" s="80">
        <v>0</v>
      </c>
      <c r="K42" s="80">
        <f t="shared" ref="K42:K57" si="9">J42*F42</f>
        <v>0</v>
      </c>
      <c r="L42" s="27">
        <f t="shared" ref="L42:L57" si="10">(H42+J42)</f>
        <v>150</v>
      </c>
      <c r="M42" s="81">
        <f t="shared" ref="M42:M57" si="11">L42*F42</f>
        <v>315</v>
      </c>
      <c r="N42" s="82"/>
      <c r="O42" s="3"/>
      <c r="P42" s="3"/>
      <c r="S42" s="35"/>
    </row>
    <row r="43" spans="1:19" s="4" customFormat="1" ht="15.75" customHeight="1">
      <c r="A43" s="78" t="s">
        <v>38</v>
      </c>
      <c r="B43" s="78" t="s">
        <v>39</v>
      </c>
      <c r="C43" s="100" t="s">
        <v>62</v>
      </c>
      <c r="D43" s="104">
        <v>26</v>
      </c>
      <c r="E43" s="26">
        <v>0.05</v>
      </c>
      <c r="F43" s="79">
        <f t="shared" si="7"/>
        <v>27.3</v>
      </c>
      <c r="G43" s="90" t="s">
        <v>41</v>
      </c>
      <c r="H43" s="80">
        <v>40</v>
      </c>
      <c r="I43" s="80">
        <f t="shared" si="8"/>
        <v>1092</v>
      </c>
      <c r="J43" s="80">
        <v>0</v>
      </c>
      <c r="K43" s="80">
        <f t="shared" si="9"/>
        <v>0</v>
      </c>
      <c r="L43" s="27">
        <f t="shared" si="10"/>
        <v>40</v>
      </c>
      <c r="M43" s="81">
        <f t="shared" si="11"/>
        <v>1092</v>
      </c>
      <c r="N43" s="82"/>
      <c r="O43" s="3"/>
      <c r="P43" s="3"/>
      <c r="S43" s="35"/>
    </row>
    <row r="44" spans="1:19" s="4" customFormat="1" ht="15.75" customHeight="1">
      <c r="A44" s="78" t="s">
        <v>38</v>
      </c>
      <c r="B44" s="78" t="s">
        <v>39</v>
      </c>
      <c r="C44" s="100" t="s">
        <v>63</v>
      </c>
      <c r="D44" s="104">
        <v>24781.49</v>
      </c>
      <c r="E44" s="26">
        <v>0.05</v>
      </c>
      <c r="F44" s="79">
        <f t="shared" si="7"/>
        <v>26020.564500000004</v>
      </c>
      <c r="G44" s="90" t="s">
        <v>49</v>
      </c>
      <c r="H44" s="80">
        <v>0.6</v>
      </c>
      <c r="I44" s="80">
        <f t="shared" si="8"/>
        <v>15612.338700000002</v>
      </c>
      <c r="J44" s="80">
        <v>0</v>
      </c>
      <c r="K44" s="80">
        <f t="shared" si="9"/>
        <v>0</v>
      </c>
      <c r="L44" s="27">
        <f t="shared" si="10"/>
        <v>0.6</v>
      </c>
      <c r="M44" s="81">
        <f t="shared" si="11"/>
        <v>15612.338700000002</v>
      </c>
      <c r="N44" s="82"/>
      <c r="O44" s="3"/>
      <c r="P44" s="3"/>
      <c r="S44" s="35"/>
    </row>
    <row r="45" spans="1:19" s="4" customFormat="1" ht="15.75" customHeight="1">
      <c r="A45" s="78" t="s">
        <v>38</v>
      </c>
      <c r="B45" s="78" t="s">
        <v>39</v>
      </c>
      <c r="C45" s="100" t="s">
        <v>64</v>
      </c>
      <c r="D45" s="104">
        <v>46544.61</v>
      </c>
      <c r="E45" s="26">
        <v>0.05</v>
      </c>
      <c r="F45" s="79">
        <f t="shared" si="7"/>
        <v>48871.840500000006</v>
      </c>
      <c r="G45" s="90" t="s">
        <v>49</v>
      </c>
      <c r="H45" s="80">
        <v>0.12</v>
      </c>
      <c r="I45" s="80">
        <f t="shared" si="8"/>
        <v>5864.6208600000009</v>
      </c>
      <c r="J45" s="80">
        <v>0</v>
      </c>
      <c r="K45" s="80">
        <f t="shared" si="9"/>
        <v>0</v>
      </c>
      <c r="L45" s="27">
        <f t="shared" si="10"/>
        <v>0.12</v>
      </c>
      <c r="M45" s="81">
        <f t="shared" si="11"/>
        <v>5864.6208600000009</v>
      </c>
      <c r="N45" s="82"/>
      <c r="O45" s="3"/>
      <c r="P45" s="3"/>
      <c r="S45" s="35"/>
    </row>
    <row r="46" spans="1:19" s="4" customFormat="1" ht="15.75" customHeight="1">
      <c r="A46" s="78" t="s">
        <v>38</v>
      </c>
      <c r="B46" s="78" t="s">
        <v>39</v>
      </c>
      <c r="C46" s="100" t="s">
        <v>65</v>
      </c>
      <c r="D46" s="104">
        <v>62.3</v>
      </c>
      <c r="E46" s="26">
        <v>0.05</v>
      </c>
      <c r="F46" s="79">
        <f t="shared" si="7"/>
        <v>65.415000000000006</v>
      </c>
      <c r="G46" s="90" t="s">
        <v>49</v>
      </c>
      <c r="H46" s="80">
        <v>1.5</v>
      </c>
      <c r="I46" s="80">
        <f t="shared" si="8"/>
        <v>98.122500000000002</v>
      </c>
      <c r="J46" s="80">
        <v>0</v>
      </c>
      <c r="K46" s="80">
        <f t="shared" si="9"/>
        <v>0</v>
      </c>
      <c r="L46" s="27">
        <f t="shared" si="10"/>
        <v>1.5</v>
      </c>
      <c r="M46" s="81">
        <f t="shared" si="11"/>
        <v>98.122500000000002</v>
      </c>
      <c r="N46" s="82"/>
      <c r="O46" s="3"/>
      <c r="P46" s="3"/>
      <c r="S46" s="35"/>
    </row>
    <row r="47" spans="1:19" s="4" customFormat="1" ht="15.75" customHeight="1">
      <c r="A47" s="78" t="s">
        <v>38</v>
      </c>
      <c r="B47" s="78" t="s">
        <v>39</v>
      </c>
      <c r="C47" s="100" t="s">
        <v>66</v>
      </c>
      <c r="D47" s="104">
        <v>7428.67</v>
      </c>
      <c r="E47" s="26">
        <v>0.05</v>
      </c>
      <c r="F47" s="79">
        <f t="shared" si="7"/>
        <v>7800.1035000000002</v>
      </c>
      <c r="G47" s="90" t="s">
        <v>49</v>
      </c>
      <c r="H47" s="80">
        <v>0.6</v>
      </c>
      <c r="I47" s="80">
        <f t="shared" si="8"/>
        <v>4680.0621000000001</v>
      </c>
      <c r="J47" s="80">
        <v>0</v>
      </c>
      <c r="K47" s="80">
        <f t="shared" si="9"/>
        <v>0</v>
      </c>
      <c r="L47" s="27">
        <f t="shared" si="10"/>
        <v>0.6</v>
      </c>
      <c r="M47" s="81">
        <f t="shared" si="11"/>
        <v>4680.0621000000001</v>
      </c>
      <c r="N47" s="82"/>
      <c r="O47" s="3"/>
      <c r="P47" s="3"/>
      <c r="S47" s="35"/>
    </row>
    <row r="48" spans="1:19" s="4" customFormat="1" ht="15.75" customHeight="1">
      <c r="A48" s="78" t="s">
        <v>38</v>
      </c>
      <c r="B48" s="78" t="s">
        <v>39</v>
      </c>
      <c r="C48" s="100" t="s">
        <v>67</v>
      </c>
      <c r="D48" s="104">
        <v>108</v>
      </c>
      <c r="E48" s="26">
        <v>0.05</v>
      </c>
      <c r="F48" s="79">
        <f t="shared" si="7"/>
        <v>113.4</v>
      </c>
      <c r="G48" s="90" t="s">
        <v>47</v>
      </c>
      <c r="H48" s="80">
        <v>1.5</v>
      </c>
      <c r="I48" s="80">
        <f t="shared" si="8"/>
        <v>170.10000000000002</v>
      </c>
      <c r="J48" s="80">
        <v>0</v>
      </c>
      <c r="K48" s="80">
        <f t="shared" si="9"/>
        <v>0</v>
      </c>
      <c r="L48" s="27">
        <f t="shared" si="10"/>
        <v>1.5</v>
      </c>
      <c r="M48" s="81">
        <f t="shared" si="11"/>
        <v>170.10000000000002</v>
      </c>
      <c r="N48" s="82"/>
      <c r="O48" s="3"/>
      <c r="P48" s="3"/>
      <c r="S48" s="35"/>
    </row>
    <row r="49" spans="1:19" s="4" customFormat="1" ht="15.75" customHeight="1">
      <c r="A49" s="78" t="s">
        <v>38</v>
      </c>
      <c r="B49" s="78" t="s">
        <v>39</v>
      </c>
      <c r="C49" s="100" t="s">
        <v>68</v>
      </c>
      <c r="D49" s="104">
        <v>43.07</v>
      </c>
      <c r="E49" s="26">
        <v>0.05</v>
      </c>
      <c r="F49" s="79">
        <f t="shared" si="7"/>
        <v>45.223500000000001</v>
      </c>
      <c r="G49" s="90" t="s">
        <v>47</v>
      </c>
      <c r="H49" s="80">
        <v>1.5</v>
      </c>
      <c r="I49" s="80">
        <f t="shared" si="8"/>
        <v>67.835250000000002</v>
      </c>
      <c r="J49" s="80">
        <v>0</v>
      </c>
      <c r="K49" s="80">
        <f t="shared" si="9"/>
        <v>0</v>
      </c>
      <c r="L49" s="27">
        <f t="shared" si="10"/>
        <v>1.5</v>
      </c>
      <c r="M49" s="81">
        <f t="shared" si="11"/>
        <v>67.835250000000002</v>
      </c>
      <c r="N49" s="82"/>
      <c r="O49" s="3"/>
      <c r="P49" s="3"/>
      <c r="S49" s="35"/>
    </row>
    <row r="50" spans="1:19" s="4" customFormat="1" ht="15.75" customHeight="1">
      <c r="A50" s="78" t="s">
        <v>38</v>
      </c>
      <c r="B50" s="78" t="s">
        <v>39</v>
      </c>
      <c r="C50" s="100" t="s">
        <v>69</v>
      </c>
      <c r="D50" s="104">
        <v>1</v>
      </c>
      <c r="E50" s="26">
        <v>0.05</v>
      </c>
      <c r="F50" s="79">
        <f t="shared" si="7"/>
        <v>1.05</v>
      </c>
      <c r="G50" s="90" t="s">
        <v>41</v>
      </c>
      <c r="H50" s="80">
        <v>600</v>
      </c>
      <c r="I50" s="80">
        <f t="shared" si="8"/>
        <v>630</v>
      </c>
      <c r="J50" s="80">
        <v>0</v>
      </c>
      <c r="K50" s="80">
        <f t="shared" si="9"/>
        <v>0</v>
      </c>
      <c r="L50" s="27">
        <f t="shared" si="10"/>
        <v>600</v>
      </c>
      <c r="M50" s="81">
        <f t="shared" si="11"/>
        <v>630</v>
      </c>
      <c r="N50" s="82"/>
      <c r="O50" s="3"/>
      <c r="P50" s="3"/>
      <c r="S50" s="35"/>
    </row>
    <row r="51" spans="1:19" s="4" customFormat="1" ht="15.75" customHeight="1">
      <c r="A51" s="78" t="s">
        <v>38</v>
      </c>
      <c r="B51" s="78" t="s">
        <v>39</v>
      </c>
      <c r="C51" s="100" t="s">
        <v>70</v>
      </c>
      <c r="D51" s="104">
        <v>3</v>
      </c>
      <c r="E51" s="26">
        <v>0.05</v>
      </c>
      <c r="F51" s="79">
        <f t="shared" si="7"/>
        <v>3.1500000000000004</v>
      </c>
      <c r="G51" s="90" t="s">
        <v>41</v>
      </c>
      <c r="H51" s="80">
        <v>80</v>
      </c>
      <c r="I51" s="80">
        <f t="shared" si="8"/>
        <v>252.00000000000003</v>
      </c>
      <c r="J51" s="80">
        <v>0</v>
      </c>
      <c r="K51" s="80">
        <f t="shared" si="9"/>
        <v>0</v>
      </c>
      <c r="L51" s="27">
        <f t="shared" si="10"/>
        <v>80</v>
      </c>
      <c r="M51" s="81">
        <f t="shared" si="11"/>
        <v>252.00000000000003</v>
      </c>
      <c r="N51" s="82"/>
      <c r="O51" s="3"/>
      <c r="P51" s="3"/>
      <c r="S51" s="35"/>
    </row>
    <row r="52" spans="1:19" s="4" customFormat="1" ht="15.75" customHeight="1">
      <c r="A52" s="78" t="s">
        <v>38</v>
      </c>
      <c r="B52" s="78" t="s">
        <v>39</v>
      </c>
      <c r="C52" s="100" t="s">
        <v>71</v>
      </c>
      <c r="D52" s="104">
        <v>255.41</v>
      </c>
      <c r="E52" s="26">
        <v>0.05</v>
      </c>
      <c r="F52" s="79">
        <f t="shared" si="7"/>
        <v>268.18049999999999</v>
      </c>
      <c r="G52" s="90" t="s">
        <v>49</v>
      </c>
      <c r="H52" s="80">
        <v>2.5</v>
      </c>
      <c r="I52" s="80">
        <f t="shared" si="8"/>
        <v>670.45124999999996</v>
      </c>
      <c r="J52" s="80">
        <v>0</v>
      </c>
      <c r="K52" s="80">
        <f t="shared" si="9"/>
        <v>0</v>
      </c>
      <c r="L52" s="27">
        <f t="shared" si="10"/>
        <v>2.5</v>
      </c>
      <c r="M52" s="81">
        <f t="shared" si="11"/>
        <v>670.45124999999996</v>
      </c>
      <c r="N52" s="82"/>
      <c r="O52" s="3"/>
      <c r="P52" s="3"/>
      <c r="S52" s="35"/>
    </row>
    <row r="53" spans="1:19" s="4" customFormat="1" ht="15.75" customHeight="1">
      <c r="A53" s="78" t="s">
        <v>38</v>
      </c>
      <c r="B53" s="78" t="s">
        <v>39</v>
      </c>
      <c r="C53" s="100" t="s">
        <v>72</v>
      </c>
      <c r="D53" s="104">
        <v>1</v>
      </c>
      <c r="E53" s="26">
        <v>0.05</v>
      </c>
      <c r="F53" s="79">
        <f t="shared" si="7"/>
        <v>1.05</v>
      </c>
      <c r="G53" s="90" t="s">
        <v>27</v>
      </c>
      <c r="H53" s="80">
        <v>1500</v>
      </c>
      <c r="I53" s="80">
        <f t="shared" si="8"/>
        <v>1575</v>
      </c>
      <c r="J53" s="80">
        <v>0</v>
      </c>
      <c r="K53" s="80">
        <f t="shared" si="9"/>
        <v>0</v>
      </c>
      <c r="L53" s="27">
        <f t="shared" si="10"/>
        <v>1500</v>
      </c>
      <c r="M53" s="81">
        <f t="shared" si="11"/>
        <v>1575</v>
      </c>
      <c r="N53" s="82"/>
      <c r="O53" s="3"/>
      <c r="P53" s="3"/>
      <c r="S53" s="35"/>
    </row>
    <row r="54" spans="1:19" s="4" customFormat="1" ht="15.75" customHeight="1">
      <c r="A54" s="78" t="s">
        <v>38</v>
      </c>
      <c r="B54" s="78" t="s">
        <v>39</v>
      </c>
      <c r="C54" s="100" t="s">
        <v>73</v>
      </c>
      <c r="D54" s="104">
        <v>7167.72</v>
      </c>
      <c r="E54" s="26">
        <v>0.05</v>
      </c>
      <c r="F54" s="79">
        <f t="shared" si="7"/>
        <v>7526.1060000000007</v>
      </c>
      <c r="G54" s="90" t="s">
        <v>49</v>
      </c>
      <c r="H54" s="80">
        <v>1.9</v>
      </c>
      <c r="I54" s="80">
        <f t="shared" si="8"/>
        <v>14299.601400000001</v>
      </c>
      <c r="J54" s="80">
        <v>0</v>
      </c>
      <c r="K54" s="80">
        <f t="shared" si="9"/>
        <v>0</v>
      </c>
      <c r="L54" s="27">
        <f t="shared" si="10"/>
        <v>1.9</v>
      </c>
      <c r="M54" s="81">
        <f t="shared" si="11"/>
        <v>14299.601400000001</v>
      </c>
      <c r="N54" s="82"/>
      <c r="O54" s="3"/>
      <c r="P54" s="3"/>
      <c r="S54" s="35"/>
    </row>
    <row r="55" spans="1:19" s="4" customFormat="1" ht="15.75" customHeight="1">
      <c r="A55" s="78" t="s">
        <v>38</v>
      </c>
      <c r="B55" s="78" t="s">
        <v>39</v>
      </c>
      <c r="C55" s="100" t="s">
        <v>74</v>
      </c>
      <c r="D55" s="104">
        <v>668.13</v>
      </c>
      <c r="E55" s="26">
        <v>0.05</v>
      </c>
      <c r="F55" s="79">
        <f t="shared" si="7"/>
        <v>701.53650000000005</v>
      </c>
      <c r="G55" s="90" t="s">
        <v>49</v>
      </c>
      <c r="H55" s="80">
        <v>2.5</v>
      </c>
      <c r="I55" s="80">
        <f t="shared" si="8"/>
        <v>1753.8412500000002</v>
      </c>
      <c r="J55" s="80">
        <v>0</v>
      </c>
      <c r="K55" s="80">
        <f t="shared" si="9"/>
        <v>0</v>
      </c>
      <c r="L55" s="27">
        <f t="shared" si="10"/>
        <v>2.5</v>
      </c>
      <c r="M55" s="81">
        <f t="shared" si="11"/>
        <v>1753.8412500000002</v>
      </c>
      <c r="N55" s="82"/>
      <c r="O55" s="3"/>
      <c r="P55" s="3"/>
      <c r="S55" s="35"/>
    </row>
    <row r="56" spans="1:19" s="4" customFormat="1" ht="15.75" customHeight="1">
      <c r="A56" s="78" t="s">
        <v>38</v>
      </c>
      <c r="B56" s="78" t="s">
        <v>39</v>
      </c>
      <c r="C56" s="100" t="s">
        <v>75</v>
      </c>
      <c r="D56" s="104">
        <v>2</v>
      </c>
      <c r="E56" s="26">
        <v>0.05</v>
      </c>
      <c r="F56" s="79">
        <f t="shared" si="7"/>
        <v>2.1</v>
      </c>
      <c r="G56" s="90" t="s">
        <v>41</v>
      </c>
      <c r="H56" s="80">
        <v>40</v>
      </c>
      <c r="I56" s="80">
        <f t="shared" si="8"/>
        <v>84</v>
      </c>
      <c r="J56" s="80">
        <v>0</v>
      </c>
      <c r="K56" s="80">
        <f t="shared" si="9"/>
        <v>0</v>
      </c>
      <c r="L56" s="27">
        <f t="shared" si="10"/>
        <v>40</v>
      </c>
      <c r="M56" s="81">
        <f t="shared" si="11"/>
        <v>84</v>
      </c>
      <c r="N56" s="82"/>
      <c r="O56" s="3"/>
      <c r="P56" s="3"/>
      <c r="S56" s="35"/>
    </row>
    <row r="57" spans="1:19" s="4" customFormat="1" ht="15.75" customHeight="1">
      <c r="A57" s="78" t="s">
        <v>38</v>
      </c>
      <c r="B57" s="78" t="s">
        <v>39</v>
      </c>
      <c r="C57" s="100" t="s">
        <v>76</v>
      </c>
      <c r="D57" s="104">
        <v>6</v>
      </c>
      <c r="E57" s="26">
        <v>0.05</v>
      </c>
      <c r="F57" s="79">
        <f t="shared" si="7"/>
        <v>6.3000000000000007</v>
      </c>
      <c r="G57" s="90" t="s">
        <v>41</v>
      </c>
      <c r="H57" s="80">
        <v>45</v>
      </c>
      <c r="I57" s="80">
        <f t="shared" si="8"/>
        <v>283.50000000000006</v>
      </c>
      <c r="J57" s="80">
        <v>0</v>
      </c>
      <c r="K57" s="80">
        <f t="shared" si="9"/>
        <v>0</v>
      </c>
      <c r="L57" s="27">
        <f t="shared" si="10"/>
        <v>45</v>
      </c>
      <c r="M57" s="81">
        <f t="shared" si="11"/>
        <v>283.50000000000006</v>
      </c>
      <c r="N57" s="82"/>
      <c r="O57" s="3"/>
      <c r="P57" s="3"/>
      <c r="S57" s="35"/>
    </row>
    <row r="58" spans="1:19" s="4" customFormat="1" ht="15.75" customHeight="1">
      <c r="A58" s="78" t="s">
        <v>38</v>
      </c>
      <c r="B58" s="78" t="s">
        <v>39</v>
      </c>
      <c r="C58" s="100" t="s">
        <v>77</v>
      </c>
      <c r="D58" s="104">
        <v>1</v>
      </c>
      <c r="E58" s="26">
        <v>0.05</v>
      </c>
      <c r="F58" s="79">
        <f t="shared" si="2"/>
        <v>1.05</v>
      </c>
      <c r="G58" s="90" t="s">
        <v>41</v>
      </c>
      <c r="H58" s="80">
        <v>50</v>
      </c>
      <c r="I58" s="80">
        <f t="shared" si="3"/>
        <v>52.5</v>
      </c>
      <c r="J58" s="80">
        <v>0</v>
      </c>
      <c r="K58" s="80">
        <f t="shared" si="4"/>
        <v>0</v>
      </c>
      <c r="L58" s="27">
        <f t="shared" si="6"/>
        <v>50</v>
      </c>
      <c r="M58" s="81">
        <f t="shared" si="5"/>
        <v>52.5</v>
      </c>
      <c r="N58" s="82"/>
      <c r="O58" s="3"/>
      <c r="P58" s="3"/>
      <c r="S58" s="35"/>
    </row>
    <row r="59" spans="1:19" s="4" customFormat="1" ht="15.75" customHeight="1">
      <c r="A59" s="78" t="s">
        <v>38</v>
      </c>
      <c r="B59" s="78" t="s">
        <v>39</v>
      </c>
      <c r="C59" s="100" t="s">
        <v>78</v>
      </c>
      <c r="D59" s="104">
        <v>1</v>
      </c>
      <c r="E59" s="26">
        <v>0.05</v>
      </c>
      <c r="F59" s="79">
        <f t="shared" si="2"/>
        <v>1.05</v>
      </c>
      <c r="G59" s="90" t="s">
        <v>41</v>
      </c>
      <c r="H59" s="80">
        <v>80</v>
      </c>
      <c r="I59" s="80">
        <f t="shared" si="3"/>
        <v>84</v>
      </c>
      <c r="J59" s="80">
        <v>0</v>
      </c>
      <c r="K59" s="80">
        <f t="shared" si="4"/>
        <v>0</v>
      </c>
      <c r="L59" s="27">
        <f t="shared" si="6"/>
        <v>80</v>
      </c>
      <c r="M59" s="81">
        <f t="shared" si="5"/>
        <v>84</v>
      </c>
      <c r="N59" s="82"/>
      <c r="O59" s="3"/>
      <c r="P59" s="3"/>
      <c r="S59" s="35"/>
    </row>
    <row r="60" spans="1:19" s="4" customFormat="1" ht="15.75" customHeight="1">
      <c r="A60" s="78" t="s">
        <v>38</v>
      </c>
      <c r="B60" s="78" t="s">
        <v>39</v>
      </c>
      <c r="C60" s="100" t="s">
        <v>79</v>
      </c>
      <c r="D60" s="104">
        <v>2</v>
      </c>
      <c r="E60" s="26">
        <v>0.05</v>
      </c>
      <c r="F60" s="79">
        <f t="shared" si="2"/>
        <v>2.1</v>
      </c>
      <c r="G60" s="90" t="s">
        <v>41</v>
      </c>
      <c r="H60" s="80">
        <v>150</v>
      </c>
      <c r="I60" s="80">
        <f t="shared" si="3"/>
        <v>315</v>
      </c>
      <c r="J60" s="80">
        <v>0</v>
      </c>
      <c r="K60" s="80">
        <f t="shared" si="4"/>
        <v>0</v>
      </c>
      <c r="L60" s="27">
        <f t="shared" si="6"/>
        <v>150</v>
      </c>
      <c r="M60" s="81">
        <f t="shared" si="5"/>
        <v>315</v>
      </c>
      <c r="N60" s="82"/>
      <c r="O60" s="3"/>
      <c r="P60" s="3"/>
      <c r="S60" s="35"/>
    </row>
    <row r="61" spans="1:19" s="4" customFormat="1" ht="15.75" customHeight="1">
      <c r="A61" s="78" t="s">
        <v>38</v>
      </c>
      <c r="B61" s="78" t="s">
        <v>39</v>
      </c>
      <c r="C61" s="100" t="s">
        <v>80</v>
      </c>
      <c r="D61" s="104">
        <v>4</v>
      </c>
      <c r="E61" s="26">
        <v>0.05</v>
      </c>
      <c r="F61" s="79">
        <f t="shared" si="2"/>
        <v>4.2</v>
      </c>
      <c r="G61" s="90" t="s">
        <v>41</v>
      </c>
      <c r="H61" s="80">
        <v>100</v>
      </c>
      <c r="I61" s="80">
        <f t="shared" si="3"/>
        <v>420</v>
      </c>
      <c r="J61" s="80">
        <v>0</v>
      </c>
      <c r="K61" s="80">
        <f t="shared" si="4"/>
        <v>0</v>
      </c>
      <c r="L61" s="27">
        <f t="shared" si="6"/>
        <v>100</v>
      </c>
      <c r="M61" s="81">
        <f t="shared" si="5"/>
        <v>420</v>
      </c>
      <c r="N61" s="82"/>
      <c r="O61" s="3"/>
      <c r="P61" s="3"/>
      <c r="S61" s="35"/>
    </row>
    <row r="62" spans="1:19" s="4" customFormat="1" ht="15.75" customHeight="1">
      <c r="A62" s="78" t="s">
        <v>38</v>
      </c>
      <c r="B62" s="78" t="s">
        <v>39</v>
      </c>
      <c r="C62" s="100" t="s">
        <v>81</v>
      </c>
      <c r="D62" s="104">
        <v>5433.14</v>
      </c>
      <c r="E62" s="26">
        <v>0.05</v>
      </c>
      <c r="F62" s="79">
        <f t="shared" ref="F62:F378" si="12">D62*(1+E62)</f>
        <v>5704.7970000000005</v>
      </c>
      <c r="G62" s="90" t="s">
        <v>49</v>
      </c>
      <c r="H62" s="80">
        <v>0.65</v>
      </c>
      <c r="I62" s="80">
        <f t="shared" ref="I62:I378" si="13">H62*F62</f>
        <v>3708.1180500000005</v>
      </c>
      <c r="J62" s="80">
        <v>0</v>
      </c>
      <c r="K62" s="80">
        <f t="shared" ref="K62:K378" si="14">J62*F62</f>
        <v>0</v>
      </c>
      <c r="L62" s="27">
        <f t="shared" ref="L62:L378" si="15">(H62+J62)</f>
        <v>0.65</v>
      </c>
      <c r="M62" s="81">
        <f t="shared" ref="M62:M378" si="16">L62*F62</f>
        <v>3708.1180500000005</v>
      </c>
      <c r="N62" s="82"/>
      <c r="O62" s="3"/>
      <c r="P62" s="3"/>
      <c r="S62" s="35"/>
    </row>
    <row r="63" spans="1:19" s="4" customFormat="1" ht="15.75" customHeight="1">
      <c r="A63" s="78" t="s">
        <v>38</v>
      </c>
      <c r="B63" s="78" t="s">
        <v>39</v>
      </c>
      <c r="C63" s="100" t="s">
        <v>82</v>
      </c>
      <c r="D63" s="104">
        <v>2</v>
      </c>
      <c r="E63" s="26">
        <v>0.05</v>
      </c>
      <c r="F63" s="79">
        <f t="shared" si="12"/>
        <v>2.1</v>
      </c>
      <c r="G63" s="90" t="s">
        <v>41</v>
      </c>
      <c r="H63" s="80">
        <v>50</v>
      </c>
      <c r="I63" s="80">
        <f t="shared" si="13"/>
        <v>105</v>
      </c>
      <c r="J63" s="80">
        <v>0</v>
      </c>
      <c r="K63" s="80">
        <f t="shared" si="14"/>
        <v>0</v>
      </c>
      <c r="L63" s="27">
        <f t="shared" si="15"/>
        <v>50</v>
      </c>
      <c r="M63" s="81">
        <f t="shared" si="16"/>
        <v>105</v>
      </c>
      <c r="N63" s="82"/>
      <c r="O63" s="3"/>
      <c r="P63" s="3"/>
      <c r="S63" s="35"/>
    </row>
    <row r="64" spans="1:19" s="4" customFormat="1" ht="15.75" customHeight="1">
      <c r="A64" s="78" t="s">
        <v>38</v>
      </c>
      <c r="B64" s="78" t="s">
        <v>39</v>
      </c>
      <c r="C64" s="100" t="s">
        <v>83</v>
      </c>
      <c r="D64" s="104">
        <v>1</v>
      </c>
      <c r="E64" s="26">
        <v>0.05</v>
      </c>
      <c r="F64" s="79">
        <f t="shared" si="12"/>
        <v>1.05</v>
      </c>
      <c r="G64" s="90" t="s">
        <v>41</v>
      </c>
      <c r="H64" s="80">
        <v>150</v>
      </c>
      <c r="I64" s="80">
        <f t="shared" si="13"/>
        <v>157.5</v>
      </c>
      <c r="J64" s="80">
        <v>0</v>
      </c>
      <c r="K64" s="80">
        <f t="shared" si="14"/>
        <v>0</v>
      </c>
      <c r="L64" s="27">
        <f t="shared" si="15"/>
        <v>150</v>
      </c>
      <c r="M64" s="81">
        <f t="shared" si="16"/>
        <v>157.5</v>
      </c>
      <c r="N64" s="82"/>
      <c r="O64" s="3"/>
      <c r="P64" s="3"/>
      <c r="S64" s="35"/>
    </row>
    <row r="65" spans="1:19" s="4" customFormat="1" ht="15.75" customHeight="1">
      <c r="A65" s="78" t="s">
        <v>38</v>
      </c>
      <c r="B65" s="78" t="s">
        <v>39</v>
      </c>
      <c r="C65" s="100" t="s">
        <v>84</v>
      </c>
      <c r="D65" s="104">
        <v>2</v>
      </c>
      <c r="E65" s="26">
        <v>0.05</v>
      </c>
      <c r="F65" s="79">
        <f t="shared" si="12"/>
        <v>2.1</v>
      </c>
      <c r="G65" s="90" t="s">
        <v>41</v>
      </c>
      <c r="H65" s="80">
        <v>220</v>
      </c>
      <c r="I65" s="80">
        <f t="shared" si="13"/>
        <v>462</v>
      </c>
      <c r="J65" s="80">
        <v>0</v>
      </c>
      <c r="K65" s="80">
        <f t="shared" si="14"/>
        <v>0</v>
      </c>
      <c r="L65" s="27">
        <f t="shared" si="15"/>
        <v>220</v>
      </c>
      <c r="M65" s="81">
        <f t="shared" si="16"/>
        <v>462</v>
      </c>
      <c r="N65" s="82"/>
      <c r="O65" s="3"/>
      <c r="P65" s="3"/>
      <c r="S65" s="35"/>
    </row>
    <row r="66" spans="1:19" s="4" customFormat="1" ht="15.75" customHeight="1">
      <c r="A66" s="78" t="s">
        <v>38</v>
      </c>
      <c r="B66" s="78" t="s">
        <v>39</v>
      </c>
      <c r="C66" s="100" t="s">
        <v>85</v>
      </c>
      <c r="D66" s="104">
        <v>4</v>
      </c>
      <c r="E66" s="26">
        <v>0.05</v>
      </c>
      <c r="F66" s="79">
        <f t="shared" si="12"/>
        <v>4.2</v>
      </c>
      <c r="G66" s="90" t="s">
        <v>41</v>
      </c>
      <c r="H66" s="80">
        <v>180</v>
      </c>
      <c r="I66" s="80">
        <f t="shared" si="13"/>
        <v>756</v>
      </c>
      <c r="J66" s="80">
        <v>0</v>
      </c>
      <c r="K66" s="80">
        <f t="shared" si="14"/>
        <v>0</v>
      </c>
      <c r="L66" s="27">
        <f t="shared" si="15"/>
        <v>180</v>
      </c>
      <c r="M66" s="81">
        <f t="shared" si="16"/>
        <v>756</v>
      </c>
      <c r="N66" s="82"/>
      <c r="O66" s="3"/>
      <c r="P66" s="3"/>
      <c r="S66" s="35"/>
    </row>
    <row r="67" spans="1:19" s="4" customFormat="1" ht="15.75" customHeight="1">
      <c r="A67" s="78" t="s">
        <v>38</v>
      </c>
      <c r="B67" s="78" t="s">
        <v>39</v>
      </c>
      <c r="C67" s="100" t="s">
        <v>86</v>
      </c>
      <c r="D67" s="104">
        <v>481.25</v>
      </c>
      <c r="E67" s="26">
        <v>0.05</v>
      </c>
      <c r="F67" s="79">
        <f t="shared" si="12"/>
        <v>505.3125</v>
      </c>
      <c r="G67" s="90" t="s">
        <v>49</v>
      </c>
      <c r="H67" s="80">
        <v>0.9</v>
      </c>
      <c r="I67" s="80">
        <f t="shared" si="13"/>
        <v>454.78125</v>
      </c>
      <c r="J67" s="80">
        <v>0</v>
      </c>
      <c r="K67" s="80">
        <f t="shared" si="14"/>
        <v>0</v>
      </c>
      <c r="L67" s="27">
        <f t="shared" si="15"/>
        <v>0.9</v>
      </c>
      <c r="M67" s="81">
        <f t="shared" si="16"/>
        <v>454.78125</v>
      </c>
      <c r="N67" s="82"/>
      <c r="O67" s="3"/>
      <c r="P67" s="3"/>
      <c r="S67" s="35"/>
    </row>
    <row r="68" spans="1:19" s="4" customFormat="1" ht="15.75" customHeight="1">
      <c r="A68" s="78" t="s">
        <v>38</v>
      </c>
      <c r="B68" s="78" t="s">
        <v>39</v>
      </c>
      <c r="C68" s="100" t="s">
        <v>87</v>
      </c>
      <c r="D68" s="104">
        <v>66.38</v>
      </c>
      <c r="E68" s="26">
        <v>0.05</v>
      </c>
      <c r="F68" s="79">
        <f t="shared" si="12"/>
        <v>69.698999999999998</v>
      </c>
      <c r="G68" s="90" t="s">
        <v>47</v>
      </c>
      <c r="H68" s="80">
        <v>1.9</v>
      </c>
      <c r="I68" s="80">
        <f t="shared" si="13"/>
        <v>132.4281</v>
      </c>
      <c r="J68" s="80">
        <v>0</v>
      </c>
      <c r="K68" s="80">
        <f t="shared" si="14"/>
        <v>0</v>
      </c>
      <c r="L68" s="27">
        <f t="shared" si="15"/>
        <v>1.9</v>
      </c>
      <c r="M68" s="81">
        <f t="shared" si="16"/>
        <v>132.4281</v>
      </c>
      <c r="N68" s="82"/>
      <c r="O68" s="3"/>
      <c r="P68" s="3"/>
      <c r="S68" s="35"/>
    </row>
    <row r="69" spans="1:19" s="4" customFormat="1" ht="15.75" customHeight="1">
      <c r="A69" s="78" t="s">
        <v>38</v>
      </c>
      <c r="B69" s="78" t="s">
        <v>39</v>
      </c>
      <c r="C69" s="100" t="s">
        <v>88</v>
      </c>
      <c r="D69" s="104">
        <v>7</v>
      </c>
      <c r="E69" s="26">
        <v>0.05</v>
      </c>
      <c r="F69" s="79">
        <f t="shared" si="12"/>
        <v>7.3500000000000005</v>
      </c>
      <c r="G69" s="90" t="s">
        <v>41</v>
      </c>
      <c r="H69" s="80">
        <v>120</v>
      </c>
      <c r="I69" s="80">
        <f t="shared" si="13"/>
        <v>882.00000000000011</v>
      </c>
      <c r="J69" s="80">
        <v>0</v>
      </c>
      <c r="K69" s="80">
        <f t="shared" si="14"/>
        <v>0</v>
      </c>
      <c r="L69" s="27">
        <f t="shared" si="15"/>
        <v>120</v>
      </c>
      <c r="M69" s="81">
        <f t="shared" si="16"/>
        <v>882.00000000000011</v>
      </c>
      <c r="N69" s="82"/>
      <c r="O69" s="3"/>
      <c r="P69" s="3"/>
      <c r="S69" s="35"/>
    </row>
    <row r="70" spans="1:19" s="4" customFormat="1" ht="15.75" customHeight="1">
      <c r="A70" s="78" t="s">
        <v>38</v>
      </c>
      <c r="B70" s="78" t="s">
        <v>39</v>
      </c>
      <c r="C70" s="100" t="s">
        <v>89</v>
      </c>
      <c r="D70" s="104">
        <f>386+373</f>
        <v>759</v>
      </c>
      <c r="E70" s="26">
        <v>0.05</v>
      </c>
      <c r="F70" s="79">
        <f t="shared" si="12"/>
        <v>796.95</v>
      </c>
      <c r="G70" s="90" t="s">
        <v>49</v>
      </c>
      <c r="H70" s="80">
        <v>3.2</v>
      </c>
      <c r="I70" s="80">
        <f t="shared" si="13"/>
        <v>2550.2400000000002</v>
      </c>
      <c r="J70" s="80">
        <v>0</v>
      </c>
      <c r="K70" s="80">
        <f t="shared" si="14"/>
        <v>0</v>
      </c>
      <c r="L70" s="27">
        <f t="shared" si="15"/>
        <v>3.2</v>
      </c>
      <c r="M70" s="81">
        <f t="shared" si="16"/>
        <v>2550.2400000000002</v>
      </c>
      <c r="N70" s="82"/>
      <c r="O70" s="3"/>
      <c r="P70" s="3"/>
      <c r="S70" s="35"/>
    </row>
    <row r="71" spans="1:19" s="4" customFormat="1" ht="15.75" customHeight="1">
      <c r="A71" s="78" t="s">
        <v>38</v>
      </c>
      <c r="B71" s="78" t="s">
        <v>39</v>
      </c>
      <c r="C71" s="100" t="s">
        <v>90</v>
      </c>
      <c r="D71" s="104">
        <v>1</v>
      </c>
      <c r="E71" s="26">
        <v>0.05</v>
      </c>
      <c r="F71" s="79">
        <f t="shared" si="12"/>
        <v>1.05</v>
      </c>
      <c r="G71" s="90" t="s">
        <v>41</v>
      </c>
      <c r="H71" s="80">
        <v>180</v>
      </c>
      <c r="I71" s="80">
        <f t="shared" si="13"/>
        <v>189</v>
      </c>
      <c r="J71" s="80">
        <v>0</v>
      </c>
      <c r="K71" s="80">
        <f t="shared" si="14"/>
        <v>0</v>
      </c>
      <c r="L71" s="27">
        <f t="shared" si="15"/>
        <v>180</v>
      </c>
      <c r="M71" s="81">
        <f t="shared" si="16"/>
        <v>189</v>
      </c>
      <c r="N71" s="82"/>
      <c r="O71" s="3"/>
      <c r="P71" s="3"/>
      <c r="S71" s="35"/>
    </row>
    <row r="72" spans="1:19" s="4" customFormat="1" ht="15.75" customHeight="1">
      <c r="A72" s="78" t="s">
        <v>38</v>
      </c>
      <c r="B72" s="78" t="s">
        <v>39</v>
      </c>
      <c r="C72" s="100" t="s">
        <v>91</v>
      </c>
      <c r="D72" s="104">
        <v>341.87</v>
      </c>
      <c r="E72" s="26">
        <v>0.05</v>
      </c>
      <c r="F72" s="79">
        <f t="shared" si="12"/>
        <v>358.96350000000001</v>
      </c>
      <c r="G72" s="90" t="s">
        <v>49</v>
      </c>
      <c r="H72" s="80">
        <v>1.6</v>
      </c>
      <c r="I72" s="80">
        <f t="shared" si="13"/>
        <v>574.34160000000008</v>
      </c>
      <c r="J72" s="80">
        <v>0</v>
      </c>
      <c r="K72" s="80">
        <f t="shared" si="14"/>
        <v>0</v>
      </c>
      <c r="L72" s="27">
        <f t="shared" si="15"/>
        <v>1.6</v>
      </c>
      <c r="M72" s="81">
        <f t="shared" si="16"/>
        <v>574.34160000000008</v>
      </c>
      <c r="N72" s="82"/>
      <c r="O72" s="3"/>
      <c r="P72" s="3"/>
      <c r="S72" s="35"/>
    </row>
    <row r="73" spans="1:19" s="4" customFormat="1" ht="15.75" customHeight="1">
      <c r="A73" s="78" t="s">
        <v>38</v>
      </c>
      <c r="B73" s="78" t="s">
        <v>39</v>
      </c>
      <c r="C73" s="100" t="s">
        <v>92</v>
      </c>
      <c r="D73" s="104">
        <v>1</v>
      </c>
      <c r="E73" s="26">
        <v>0.05</v>
      </c>
      <c r="F73" s="79">
        <f t="shared" si="12"/>
        <v>1.05</v>
      </c>
      <c r="G73" s="90" t="s">
        <v>41</v>
      </c>
      <c r="H73" s="80">
        <v>160</v>
      </c>
      <c r="I73" s="80">
        <f t="shared" si="13"/>
        <v>168</v>
      </c>
      <c r="J73" s="80">
        <v>0</v>
      </c>
      <c r="K73" s="80">
        <f t="shared" si="14"/>
        <v>0</v>
      </c>
      <c r="L73" s="27">
        <f t="shared" si="15"/>
        <v>160</v>
      </c>
      <c r="M73" s="81">
        <f t="shared" si="16"/>
        <v>168</v>
      </c>
      <c r="N73" s="82"/>
      <c r="O73" s="3"/>
      <c r="P73" s="3"/>
      <c r="S73" s="35"/>
    </row>
    <row r="74" spans="1:19" s="4" customFormat="1" ht="15.75" customHeight="1">
      <c r="A74" s="78" t="s">
        <v>38</v>
      </c>
      <c r="B74" s="78" t="s">
        <v>39</v>
      </c>
      <c r="C74" s="100" t="s">
        <v>93</v>
      </c>
      <c r="D74" s="104">
        <v>1</v>
      </c>
      <c r="E74" s="26">
        <v>0.05</v>
      </c>
      <c r="F74" s="79">
        <f t="shared" si="12"/>
        <v>1.05</v>
      </c>
      <c r="G74" s="90" t="s">
        <v>41</v>
      </c>
      <c r="H74" s="80">
        <v>400</v>
      </c>
      <c r="I74" s="80">
        <f t="shared" si="13"/>
        <v>420</v>
      </c>
      <c r="J74" s="80">
        <v>0</v>
      </c>
      <c r="K74" s="80">
        <f t="shared" si="14"/>
        <v>0</v>
      </c>
      <c r="L74" s="27">
        <f t="shared" si="15"/>
        <v>400</v>
      </c>
      <c r="M74" s="81">
        <f t="shared" si="16"/>
        <v>420</v>
      </c>
      <c r="N74" s="82"/>
      <c r="O74" s="3"/>
      <c r="P74" s="3"/>
      <c r="S74" s="35"/>
    </row>
    <row r="75" spans="1:19" s="4" customFormat="1" ht="15.75" customHeight="1">
      <c r="A75" s="78" t="s">
        <v>38</v>
      </c>
      <c r="B75" s="78" t="s">
        <v>39</v>
      </c>
      <c r="C75" s="100" t="s">
        <v>94</v>
      </c>
      <c r="D75" s="104">
        <v>7397.53</v>
      </c>
      <c r="E75" s="26">
        <v>0.05</v>
      </c>
      <c r="F75" s="79">
        <f t="shared" si="12"/>
        <v>7767.4065000000001</v>
      </c>
      <c r="G75" s="90" t="s">
        <v>49</v>
      </c>
      <c r="H75" s="80">
        <v>0.45</v>
      </c>
      <c r="I75" s="80">
        <f t="shared" si="13"/>
        <v>3495.3329250000002</v>
      </c>
      <c r="J75" s="80">
        <v>0</v>
      </c>
      <c r="K75" s="80">
        <f t="shared" si="14"/>
        <v>0</v>
      </c>
      <c r="L75" s="27">
        <f t="shared" si="15"/>
        <v>0.45</v>
      </c>
      <c r="M75" s="81">
        <f t="shared" si="16"/>
        <v>3495.3329250000002</v>
      </c>
      <c r="N75" s="82"/>
      <c r="O75" s="3"/>
      <c r="P75" s="3"/>
      <c r="S75" s="35"/>
    </row>
    <row r="76" spans="1:19" s="4" customFormat="1" ht="15.75" customHeight="1">
      <c r="A76" s="78"/>
      <c r="B76" s="78"/>
      <c r="C76" s="100"/>
      <c r="D76" s="104"/>
      <c r="E76" s="26"/>
      <c r="F76" s="79"/>
      <c r="G76" s="90"/>
      <c r="H76" s="80"/>
      <c r="I76" s="80"/>
      <c r="J76" s="80"/>
      <c r="K76" s="80"/>
      <c r="L76" s="27"/>
      <c r="M76" s="81"/>
      <c r="N76" s="82"/>
      <c r="O76" s="3"/>
      <c r="P76" s="3"/>
      <c r="S76" s="35"/>
    </row>
    <row r="77" spans="1:19" s="4" customFormat="1">
      <c r="A77" s="78"/>
      <c r="B77" s="78"/>
      <c r="C77" s="88"/>
      <c r="D77" s="89"/>
      <c r="E77" s="26"/>
      <c r="F77" s="79"/>
      <c r="G77" s="90"/>
      <c r="H77" s="80"/>
      <c r="I77" s="65"/>
      <c r="J77" s="65"/>
      <c r="K77" s="65"/>
      <c r="L77" s="72"/>
      <c r="M77" s="66"/>
      <c r="N77" s="22"/>
      <c r="O77" s="3"/>
      <c r="P77" s="3"/>
      <c r="S77" s="35"/>
    </row>
    <row r="78" spans="1:19" s="4" customFormat="1">
      <c r="A78" s="56"/>
      <c r="B78" s="56"/>
      <c r="C78" s="56" t="s">
        <v>95</v>
      </c>
      <c r="D78" s="94"/>
      <c r="E78" s="19"/>
      <c r="F78" s="19"/>
      <c r="G78" s="19"/>
      <c r="H78" s="19"/>
      <c r="I78" s="19"/>
      <c r="J78" s="19"/>
      <c r="K78" s="19"/>
      <c r="L78" s="71"/>
      <c r="M78" s="19"/>
      <c r="N78" s="20">
        <f>SUM(M80:M113)</f>
        <v>33631.180787866666</v>
      </c>
      <c r="O78" s="3" t="s">
        <v>25</v>
      </c>
      <c r="P78" s="3"/>
      <c r="S78" s="35"/>
    </row>
    <row r="79" spans="1:19" s="4" customFormat="1" ht="15.75" customHeight="1">
      <c r="A79" s="78"/>
      <c r="B79" s="78"/>
      <c r="C79" s="100"/>
      <c r="D79" s="101"/>
      <c r="E79" s="101"/>
      <c r="F79" s="101"/>
      <c r="G79" s="102"/>
      <c r="H79" s="80"/>
      <c r="I79" s="80"/>
      <c r="J79" s="80"/>
      <c r="K79" s="80"/>
      <c r="L79" s="27"/>
      <c r="M79" s="81"/>
      <c r="N79" s="82"/>
      <c r="O79" s="3"/>
      <c r="P79" s="3"/>
      <c r="S79" s="35"/>
    </row>
    <row r="80" spans="1:19" s="4" customFormat="1" ht="15.75" customHeight="1">
      <c r="A80" s="78"/>
      <c r="B80" s="78"/>
      <c r="C80" s="99" t="s">
        <v>96</v>
      </c>
      <c r="D80" s="104">
        <v>3</v>
      </c>
      <c r="E80" s="101"/>
      <c r="F80" s="101"/>
      <c r="G80" s="102"/>
      <c r="H80" s="80"/>
      <c r="I80" s="80"/>
      <c r="J80" s="80"/>
      <c r="K80" s="80"/>
      <c r="L80" s="27"/>
      <c r="M80" s="81"/>
      <c r="N80" s="82"/>
      <c r="O80" s="3"/>
      <c r="P80" s="3"/>
      <c r="S80" s="35"/>
    </row>
    <row r="81" spans="1:19" s="4" customFormat="1" ht="15.75" customHeight="1">
      <c r="A81" s="78" t="s">
        <v>38</v>
      </c>
      <c r="B81" s="78" t="s">
        <v>39</v>
      </c>
      <c r="C81" s="100" t="s">
        <v>97</v>
      </c>
      <c r="D81" s="104">
        <f>4*4*1*3/27</f>
        <v>1.7777777777777777</v>
      </c>
      <c r="E81" s="26">
        <v>0.05</v>
      </c>
      <c r="F81" s="79">
        <f t="shared" ref="F81:F86" si="17">D81*(1+E81)</f>
        <v>1.8666666666666667</v>
      </c>
      <c r="G81" s="90" t="s">
        <v>98</v>
      </c>
      <c r="H81" s="80">
        <v>70</v>
      </c>
      <c r="I81" s="80">
        <f t="shared" ref="I81:I86" si="18">H81*F81</f>
        <v>130.66666666666666</v>
      </c>
      <c r="J81" s="80">
        <v>140</v>
      </c>
      <c r="K81" s="80">
        <f t="shared" ref="K81:K86" si="19">J81*F81</f>
        <v>261.33333333333331</v>
      </c>
      <c r="L81" s="27">
        <f t="shared" ref="L81:L86" si="20">(H81+J81)</f>
        <v>210</v>
      </c>
      <c r="M81" s="81">
        <f t="shared" ref="M81:M86" si="21">L81*F81</f>
        <v>392</v>
      </c>
      <c r="N81" s="82"/>
      <c r="O81" s="3"/>
      <c r="P81" s="3"/>
      <c r="S81" s="35"/>
    </row>
    <row r="82" spans="1:19" s="4" customFormat="1" ht="15.75" customHeight="1">
      <c r="A82" s="78" t="s">
        <v>38</v>
      </c>
      <c r="B82" s="78" t="s">
        <v>39</v>
      </c>
      <c r="C82" s="100" t="s">
        <v>99</v>
      </c>
      <c r="D82" s="104">
        <f>4*4*1*3</f>
        <v>48</v>
      </c>
      <c r="E82" s="26">
        <v>0.05</v>
      </c>
      <c r="F82" s="79">
        <f t="shared" si="17"/>
        <v>50.400000000000006</v>
      </c>
      <c r="G82" s="90" t="s">
        <v>100</v>
      </c>
      <c r="H82" s="80">
        <v>5</v>
      </c>
      <c r="I82" s="80">
        <f t="shared" si="18"/>
        <v>252.00000000000003</v>
      </c>
      <c r="J82" s="80">
        <v>1.35</v>
      </c>
      <c r="K82" s="80">
        <f t="shared" si="19"/>
        <v>68.040000000000006</v>
      </c>
      <c r="L82" s="27">
        <f t="shared" si="20"/>
        <v>6.35</v>
      </c>
      <c r="M82" s="81">
        <f t="shared" si="21"/>
        <v>320.04000000000002</v>
      </c>
      <c r="N82" s="82"/>
      <c r="O82" s="3"/>
      <c r="P82" s="3"/>
      <c r="S82" s="35"/>
    </row>
    <row r="83" spans="1:19" s="4" customFormat="1" ht="15.75" customHeight="1">
      <c r="A83" s="78" t="s">
        <v>38</v>
      </c>
      <c r="B83" s="78" t="s">
        <v>39</v>
      </c>
      <c r="C83" s="100" t="s">
        <v>101</v>
      </c>
      <c r="D83" s="104">
        <f>5*5*1*3/27</f>
        <v>2.7777777777777777</v>
      </c>
      <c r="E83" s="26">
        <v>0.05</v>
      </c>
      <c r="F83" s="79">
        <f t="shared" si="17"/>
        <v>2.9166666666666665</v>
      </c>
      <c r="G83" s="90" t="s">
        <v>98</v>
      </c>
      <c r="H83" s="80">
        <v>34</v>
      </c>
      <c r="I83" s="80">
        <f t="shared" si="18"/>
        <v>99.166666666666657</v>
      </c>
      <c r="J83" s="80">
        <v>0</v>
      </c>
      <c r="K83" s="80">
        <f t="shared" si="19"/>
        <v>0</v>
      </c>
      <c r="L83" s="27">
        <f t="shared" si="20"/>
        <v>34</v>
      </c>
      <c r="M83" s="81">
        <f t="shared" si="21"/>
        <v>99.166666666666657</v>
      </c>
      <c r="N83" s="82"/>
      <c r="O83" s="3"/>
      <c r="P83" s="3"/>
      <c r="S83" s="35"/>
    </row>
    <row r="84" spans="1:19" s="4" customFormat="1" ht="15.75" customHeight="1">
      <c r="A84" s="78" t="s">
        <v>38</v>
      </c>
      <c r="B84" s="78" t="s">
        <v>39</v>
      </c>
      <c r="C84" s="100" t="s">
        <v>102</v>
      </c>
      <c r="D84" s="104">
        <f>D83-D81</f>
        <v>1</v>
      </c>
      <c r="E84" s="26">
        <v>0.05</v>
      </c>
      <c r="F84" s="79">
        <f t="shared" si="17"/>
        <v>1.05</v>
      </c>
      <c r="G84" s="90" t="s">
        <v>98</v>
      </c>
      <c r="H84" s="80">
        <v>32</v>
      </c>
      <c r="I84" s="80">
        <f t="shared" si="18"/>
        <v>33.6</v>
      </c>
      <c r="J84" s="80">
        <v>0</v>
      </c>
      <c r="K84" s="80">
        <f t="shared" si="19"/>
        <v>0</v>
      </c>
      <c r="L84" s="27">
        <f t="shared" si="20"/>
        <v>32</v>
      </c>
      <c r="M84" s="81">
        <f t="shared" si="21"/>
        <v>33.6</v>
      </c>
      <c r="N84" s="82"/>
      <c r="O84" s="3"/>
      <c r="P84" s="3"/>
      <c r="S84" s="35"/>
    </row>
    <row r="85" spans="1:19" s="4" customFormat="1" ht="15.75" customHeight="1">
      <c r="A85" s="78" t="s">
        <v>38</v>
      </c>
      <c r="B85" s="78" t="s">
        <v>39</v>
      </c>
      <c r="C85" s="100" t="s">
        <v>103</v>
      </c>
      <c r="D85" s="104">
        <f>4*4*1.043*1.2*2*3</f>
        <v>120.15359999999998</v>
      </c>
      <c r="E85" s="26">
        <v>0.05</v>
      </c>
      <c r="F85" s="79">
        <f t="shared" si="17"/>
        <v>126.16127999999999</v>
      </c>
      <c r="G85" s="90" t="s">
        <v>104</v>
      </c>
      <c r="H85" s="80">
        <v>0.65</v>
      </c>
      <c r="I85" s="80">
        <f t="shared" si="18"/>
        <v>82.004831999999993</v>
      </c>
      <c r="J85" s="80">
        <v>0.65</v>
      </c>
      <c r="K85" s="80">
        <f t="shared" si="19"/>
        <v>82.004831999999993</v>
      </c>
      <c r="L85" s="27">
        <f t="shared" si="20"/>
        <v>1.3</v>
      </c>
      <c r="M85" s="81">
        <f t="shared" si="21"/>
        <v>164.00966399999999</v>
      </c>
      <c r="N85" s="82"/>
      <c r="O85" s="3"/>
      <c r="P85" s="3"/>
      <c r="S85" s="35"/>
    </row>
    <row r="86" spans="1:19" s="4" customFormat="1" ht="15.75" customHeight="1">
      <c r="A86" s="78" t="s">
        <v>38</v>
      </c>
      <c r="B86" s="78" t="s">
        <v>39</v>
      </c>
      <c r="C86" s="100" t="s">
        <v>105</v>
      </c>
      <c r="D86" s="104">
        <f>16*3/1+1</f>
        <v>49</v>
      </c>
      <c r="E86" s="26">
        <v>0.05</v>
      </c>
      <c r="F86" s="79">
        <f t="shared" si="17"/>
        <v>51.45</v>
      </c>
      <c r="G86" s="90" t="s">
        <v>41</v>
      </c>
      <c r="H86" s="80">
        <v>20</v>
      </c>
      <c r="I86" s="80">
        <f t="shared" si="18"/>
        <v>1029</v>
      </c>
      <c r="J86" s="80">
        <v>12</v>
      </c>
      <c r="K86" s="80">
        <f t="shared" si="19"/>
        <v>617.40000000000009</v>
      </c>
      <c r="L86" s="27">
        <f t="shared" si="20"/>
        <v>32</v>
      </c>
      <c r="M86" s="81">
        <f t="shared" si="21"/>
        <v>1646.4</v>
      </c>
      <c r="N86" s="82"/>
      <c r="O86" s="3"/>
      <c r="P86" s="3"/>
      <c r="S86" s="35"/>
    </row>
    <row r="87" spans="1:19" s="4" customFormat="1" ht="15.75" customHeight="1">
      <c r="A87" s="78"/>
      <c r="B87" s="78"/>
      <c r="C87" s="100"/>
      <c r="D87" s="104"/>
      <c r="E87" s="26"/>
      <c r="F87" s="79"/>
      <c r="G87" s="90"/>
      <c r="H87" s="80"/>
      <c r="I87" s="80"/>
      <c r="J87" s="80"/>
      <c r="K87" s="80"/>
      <c r="L87" s="27"/>
      <c r="M87" s="81"/>
      <c r="N87" s="82"/>
      <c r="O87" s="3"/>
      <c r="P87" s="3"/>
      <c r="S87" s="35"/>
    </row>
    <row r="88" spans="1:19" s="4" customFormat="1" ht="15.75" customHeight="1">
      <c r="A88" s="78"/>
      <c r="B88" s="78"/>
      <c r="C88" s="99" t="s">
        <v>106</v>
      </c>
      <c r="D88" s="104">
        <v>4</v>
      </c>
      <c r="E88" s="26"/>
      <c r="F88" s="79"/>
      <c r="G88" s="90"/>
      <c r="H88" s="80"/>
      <c r="I88" s="80"/>
      <c r="J88" s="80"/>
      <c r="K88" s="80"/>
      <c r="L88" s="27"/>
      <c r="M88" s="81"/>
      <c r="N88" s="82"/>
      <c r="O88" s="3"/>
      <c r="P88" s="3"/>
      <c r="S88" s="35"/>
    </row>
    <row r="89" spans="1:19" s="4" customFormat="1" ht="15.75" customHeight="1">
      <c r="A89" s="78" t="s">
        <v>38</v>
      </c>
      <c r="B89" s="78" t="s">
        <v>39</v>
      </c>
      <c r="C89" s="100" t="s">
        <v>97</v>
      </c>
      <c r="D89" s="104">
        <f>4.5*4.5*1*4/27</f>
        <v>3</v>
      </c>
      <c r="E89" s="26">
        <v>0.05</v>
      </c>
      <c r="F89" s="79">
        <f t="shared" ref="F89:F94" si="22">D89*(1+E89)</f>
        <v>3.1500000000000004</v>
      </c>
      <c r="G89" s="90" t="s">
        <v>98</v>
      </c>
      <c r="H89" s="80">
        <v>70</v>
      </c>
      <c r="I89" s="80">
        <f t="shared" ref="I89:I94" si="23">H89*F89</f>
        <v>220.50000000000003</v>
      </c>
      <c r="J89" s="80">
        <v>140</v>
      </c>
      <c r="K89" s="80">
        <f t="shared" ref="K89:K94" si="24">J89*F89</f>
        <v>441.00000000000006</v>
      </c>
      <c r="L89" s="27">
        <f t="shared" ref="L89:L94" si="25">(H89+J89)</f>
        <v>210</v>
      </c>
      <c r="M89" s="81">
        <f t="shared" ref="M89:M94" si="26">L89*F89</f>
        <v>661.50000000000011</v>
      </c>
      <c r="N89" s="82"/>
      <c r="O89" s="3"/>
      <c r="P89" s="3"/>
      <c r="S89" s="35"/>
    </row>
    <row r="90" spans="1:19" s="4" customFormat="1" ht="15.75" customHeight="1">
      <c r="A90" s="78" t="s">
        <v>38</v>
      </c>
      <c r="B90" s="78" t="s">
        <v>39</v>
      </c>
      <c r="C90" s="100" t="s">
        <v>99</v>
      </c>
      <c r="D90" s="104">
        <f>4*4.5*1*4</f>
        <v>72</v>
      </c>
      <c r="E90" s="26">
        <v>0.05</v>
      </c>
      <c r="F90" s="79">
        <f t="shared" si="22"/>
        <v>75.600000000000009</v>
      </c>
      <c r="G90" s="90" t="s">
        <v>100</v>
      </c>
      <c r="H90" s="80">
        <v>5</v>
      </c>
      <c r="I90" s="80">
        <f t="shared" si="23"/>
        <v>378.00000000000006</v>
      </c>
      <c r="J90" s="80">
        <v>1.35</v>
      </c>
      <c r="K90" s="80">
        <f t="shared" si="24"/>
        <v>102.06000000000002</v>
      </c>
      <c r="L90" s="27">
        <f t="shared" si="25"/>
        <v>6.35</v>
      </c>
      <c r="M90" s="81">
        <f t="shared" si="26"/>
        <v>480.06</v>
      </c>
      <c r="N90" s="82"/>
      <c r="O90" s="3"/>
      <c r="P90" s="3"/>
      <c r="S90" s="35"/>
    </row>
    <row r="91" spans="1:19" s="4" customFormat="1" ht="15.75" customHeight="1">
      <c r="A91" s="78" t="s">
        <v>38</v>
      </c>
      <c r="B91" s="78" t="s">
        <v>39</v>
      </c>
      <c r="C91" s="100" t="s">
        <v>101</v>
      </c>
      <c r="D91" s="104">
        <f>5.5*5.5*1*4/27</f>
        <v>4.4814814814814818</v>
      </c>
      <c r="E91" s="26">
        <v>0.05</v>
      </c>
      <c r="F91" s="79">
        <f t="shared" si="22"/>
        <v>4.7055555555555557</v>
      </c>
      <c r="G91" s="90" t="s">
        <v>98</v>
      </c>
      <c r="H91" s="80">
        <v>34</v>
      </c>
      <c r="I91" s="80">
        <f t="shared" si="23"/>
        <v>159.98888888888888</v>
      </c>
      <c r="J91" s="80">
        <v>0</v>
      </c>
      <c r="K91" s="80">
        <f t="shared" si="24"/>
        <v>0</v>
      </c>
      <c r="L91" s="27">
        <f t="shared" si="25"/>
        <v>34</v>
      </c>
      <c r="M91" s="81">
        <f t="shared" si="26"/>
        <v>159.98888888888888</v>
      </c>
      <c r="N91" s="82"/>
      <c r="O91" s="3"/>
      <c r="P91" s="3"/>
      <c r="S91" s="35"/>
    </row>
    <row r="92" spans="1:19" s="4" customFormat="1" ht="15.75" customHeight="1">
      <c r="A92" s="78" t="s">
        <v>38</v>
      </c>
      <c r="B92" s="78" t="s">
        <v>39</v>
      </c>
      <c r="C92" s="100" t="s">
        <v>102</v>
      </c>
      <c r="D92" s="104">
        <f>D91-D89</f>
        <v>1.4814814814814818</v>
      </c>
      <c r="E92" s="26">
        <v>0.05</v>
      </c>
      <c r="F92" s="79">
        <f t="shared" si="22"/>
        <v>1.555555555555556</v>
      </c>
      <c r="G92" s="90" t="s">
        <v>98</v>
      </c>
      <c r="H92" s="80">
        <v>32</v>
      </c>
      <c r="I92" s="80">
        <f t="shared" si="23"/>
        <v>49.777777777777793</v>
      </c>
      <c r="J92" s="80">
        <v>0</v>
      </c>
      <c r="K92" s="80">
        <f t="shared" si="24"/>
        <v>0</v>
      </c>
      <c r="L92" s="27">
        <f t="shared" si="25"/>
        <v>32</v>
      </c>
      <c r="M92" s="81">
        <f t="shared" si="26"/>
        <v>49.777777777777793</v>
      </c>
      <c r="N92" s="82"/>
      <c r="O92" s="3"/>
      <c r="P92" s="3"/>
      <c r="S92" s="35"/>
    </row>
    <row r="93" spans="1:19" s="4" customFormat="1" ht="15.75" customHeight="1">
      <c r="A93" s="78" t="s">
        <v>38</v>
      </c>
      <c r="B93" s="78" t="s">
        <v>39</v>
      </c>
      <c r="C93" s="100" t="s">
        <v>103</v>
      </c>
      <c r="D93" s="104">
        <f>4*4.5*1.043*1.2*2*4</f>
        <v>180.23039999999997</v>
      </c>
      <c r="E93" s="26">
        <v>0.05</v>
      </c>
      <c r="F93" s="79">
        <f t="shared" si="22"/>
        <v>189.24191999999999</v>
      </c>
      <c r="G93" s="90" t="s">
        <v>104</v>
      </c>
      <c r="H93" s="80">
        <v>0.65</v>
      </c>
      <c r="I93" s="80">
        <f t="shared" si="23"/>
        <v>123.007248</v>
      </c>
      <c r="J93" s="80">
        <v>0.65</v>
      </c>
      <c r="K93" s="80">
        <f t="shared" si="24"/>
        <v>123.007248</v>
      </c>
      <c r="L93" s="27">
        <f t="shared" si="25"/>
        <v>1.3</v>
      </c>
      <c r="M93" s="81">
        <f t="shared" si="26"/>
        <v>246.01449600000001</v>
      </c>
      <c r="N93" s="82"/>
      <c r="O93" s="3"/>
      <c r="P93" s="3"/>
      <c r="S93" s="35"/>
    </row>
    <row r="94" spans="1:19" s="4" customFormat="1" ht="15.75" customHeight="1">
      <c r="A94" s="78" t="s">
        <v>38</v>
      </c>
      <c r="B94" s="78" t="s">
        <v>39</v>
      </c>
      <c r="C94" s="100" t="s">
        <v>105</v>
      </c>
      <c r="D94" s="104">
        <f>4*4.5*4/1+1</f>
        <v>73</v>
      </c>
      <c r="E94" s="26">
        <v>0.05</v>
      </c>
      <c r="F94" s="79">
        <f t="shared" si="22"/>
        <v>76.650000000000006</v>
      </c>
      <c r="G94" s="90" t="s">
        <v>41</v>
      </c>
      <c r="H94" s="80">
        <v>20</v>
      </c>
      <c r="I94" s="80">
        <f t="shared" si="23"/>
        <v>1533</v>
      </c>
      <c r="J94" s="80">
        <v>12</v>
      </c>
      <c r="K94" s="80">
        <f t="shared" si="24"/>
        <v>919.80000000000007</v>
      </c>
      <c r="L94" s="27">
        <f t="shared" si="25"/>
        <v>32</v>
      </c>
      <c r="M94" s="81">
        <f t="shared" si="26"/>
        <v>2452.8000000000002</v>
      </c>
      <c r="N94" s="82"/>
      <c r="O94" s="3"/>
      <c r="P94" s="3"/>
      <c r="S94" s="35"/>
    </row>
    <row r="95" spans="1:19" s="4" customFormat="1" ht="15.75" customHeight="1">
      <c r="A95" s="78"/>
      <c r="B95" s="78"/>
      <c r="C95" s="100"/>
      <c r="D95" s="104"/>
      <c r="E95" s="26"/>
      <c r="F95" s="79"/>
      <c r="G95" s="90"/>
      <c r="H95" s="80"/>
      <c r="I95" s="80"/>
      <c r="J95" s="80"/>
      <c r="K95" s="80"/>
      <c r="L95" s="27"/>
      <c r="M95" s="81"/>
      <c r="N95" s="82"/>
      <c r="O95" s="3"/>
      <c r="P95" s="3"/>
      <c r="S95" s="35"/>
    </row>
    <row r="96" spans="1:19" s="4" customFormat="1" ht="15.75" customHeight="1">
      <c r="A96" s="78"/>
      <c r="B96" s="78"/>
      <c r="C96" s="99" t="s">
        <v>107</v>
      </c>
      <c r="D96" s="104">
        <v>1205.3</v>
      </c>
      <c r="E96" s="26"/>
      <c r="F96" s="79"/>
      <c r="G96" s="90"/>
      <c r="H96" s="80"/>
      <c r="I96" s="80"/>
      <c r="J96" s="80"/>
      <c r="K96" s="80"/>
      <c r="L96" s="27"/>
      <c r="M96" s="81"/>
      <c r="N96" s="82"/>
      <c r="O96" s="3"/>
      <c r="P96" s="3"/>
      <c r="S96" s="35"/>
    </row>
    <row r="97" spans="1:19" s="4" customFormat="1" ht="15.75" customHeight="1">
      <c r="A97" s="78" t="s">
        <v>38</v>
      </c>
      <c r="B97" s="78" t="s">
        <v>39</v>
      </c>
      <c r="C97" s="100" t="s">
        <v>108</v>
      </c>
      <c r="D97" s="104">
        <f>D96</f>
        <v>1205.3</v>
      </c>
      <c r="E97" s="26">
        <v>0.05</v>
      </c>
      <c r="F97" s="79">
        <f t="shared" ref="F97:F103" si="27">D97*(1+E97)</f>
        <v>1265.5650000000001</v>
      </c>
      <c r="G97" s="90" t="s">
        <v>49</v>
      </c>
      <c r="H97" s="80">
        <f>0.33*70/27+0.5</f>
        <v>1.3555555555555556</v>
      </c>
      <c r="I97" s="80">
        <f t="shared" ref="I97:I103" si="28">H97*F97</f>
        <v>1715.5436666666669</v>
      </c>
      <c r="J97" s="80">
        <f>0.33*140/27</f>
        <v>1.7111111111111112</v>
      </c>
      <c r="K97" s="80">
        <f t="shared" ref="K97:K103" si="29">J97*F97</f>
        <v>2165.5223333333338</v>
      </c>
      <c r="L97" s="27">
        <f t="shared" ref="L97:L103" si="30">(H97+J97)</f>
        <v>3.0666666666666669</v>
      </c>
      <c r="M97" s="81">
        <f t="shared" ref="M97:M103" si="31">L97*F97</f>
        <v>3881.0660000000003</v>
      </c>
      <c r="N97" s="82"/>
      <c r="O97" s="3"/>
      <c r="P97" s="3"/>
      <c r="S97" s="35"/>
    </row>
    <row r="98" spans="1:19" s="4" customFormat="1" ht="15.75" customHeight="1">
      <c r="A98" s="78" t="s">
        <v>38</v>
      </c>
      <c r="B98" s="78" t="s">
        <v>39</v>
      </c>
      <c r="C98" s="100" t="s">
        <v>109</v>
      </c>
      <c r="D98" s="104">
        <v>235</v>
      </c>
      <c r="E98" s="26">
        <v>0.05</v>
      </c>
      <c r="F98" s="79">
        <f t="shared" si="27"/>
        <v>246.75</v>
      </c>
      <c r="G98" s="90" t="s">
        <v>47</v>
      </c>
      <c r="H98" s="80">
        <v>3</v>
      </c>
      <c r="I98" s="80">
        <f t="shared" si="28"/>
        <v>740.25</v>
      </c>
      <c r="J98" s="80">
        <v>1.33</v>
      </c>
      <c r="K98" s="80">
        <f t="shared" si="29"/>
        <v>328.17750000000001</v>
      </c>
      <c r="L98" s="27">
        <f t="shared" si="30"/>
        <v>4.33</v>
      </c>
      <c r="M98" s="81">
        <f t="shared" si="31"/>
        <v>1068.4275</v>
      </c>
      <c r="N98" s="82"/>
      <c r="O98" s="3"/>
      <c r="P98" s="3"/>
      <c r="S98" s="35"/>
    </row>
    <row r="99" spans="1:19" s="4" customFormat="1" ht="15.75" customHeight="1">
      <c r="A99" s="78" t="s">
        <v>38</v>
      </c>
      <c r="B99" s="78" t="s">
        <v>39</v>
      </c>
      <c r="C99" s="100" t="s">
        <v>110</v>
      </c>
      <c r="D99" s="104">
        <f>D97</f>
        <v>1205.3</v>
      </c>
      <c r="E99" s="26">
        <v>0.05</v>
      </c>
      <c r="F99" s="79">
        <f t="shared" si="27"/>
        <v>1265.5650000000001</v>
      </c>
      <c r="G99" s="90" t="s">
        <v>49</v>
      </c>
      <c r="H99" s="80">
        <v>0.35</v>
      </c>
      <c r="I99" s="80">
        <f t="shared" si="28"/>
        <v>442.94774999999998</v>
      </c>
      <c r="J99" s="80">
        <v>0.35</v>
      </c>
      <c r="K99" s="80">
        <f t="shared" si="29"/>
        <v>442.94774999999998</v>
      </c>
      <c r="L99" s="27">
        <f t="shared" si="30"/>
        <v>0.7</v>
      </c>
      <c r="M99" s="81">
        <f t="shared" si="31"/>
        <v>885.89549999999997</v>
      </c>
      <c r="N99" s="82"/>
      <c r="O99" s="3"/>
      <c r="P99" s="3"/>
      <c r="S99" s="35"/>
    </row>
    <row r="100" spans="1:19" s="4" customFormat="1" ht="15.75" customHeight="1">
      <c r="A100" s="78" t="s">
        <v>38</v>
      </c>
      <c r="B100" s="78" t="s">
        <v>39</v>
      </c>
      <c r="C100" s="100" t="s">
        <v>111</v>
      </c>
      <c r="D100" s="104">
        <f>D99*0.16</f>
        <v>192.84799999999998</v>
      </c>
      <c r="E100" s="26">
        <v>0.05</v>
      </c>
      <c r="F100" s="79">
        <f t="shared" si="27"/>
        <v>202.49039999999999</v>
      </c>
      <c r="G100" s="90" t="s">
        <v>47</v>
      </c>
      <c r="H100" s="80">
        <v>0.71</v>
      </c>
      <c r="I100" s="80">
        <f t="shared" si="28"/>
        <v>143.76818399999999</v>
      </c>
      <c r="J100" s="80">
        <v>0.42</v>
      </c>
      <c r="K100" s="80">
        <f t="shared" si="29"/>
        <v>85.045967999999988</v>
      </c>
      <c r="L100" s="27">
        <f t="shared" si="30"/>
        <v>1.1299999999999999</v>
      </c>
      <c r="M100" s="81">
        <f t="shared" si="31"/>
        <v>228.81415199999998</v>
      </c>
      <c r="N100" s="82"/>
      <c r="O100" s="3"/>
      <c r="P100" s="3"/>
      <c r="S100" s="35"/>
    </row>
    <row r="101" spans="1:19" s="4" customFormat="1" ht="15.75" customHeight="1">
      <c r="A101" s="78" t="s">
        <v>38</v>
      </c>
      <c r="B101" s="78" t="s">
        <v>39</v>
      </c>
      <c r="C101" s="100" t="s">
        <v>112</v>
      </c>
      <c r="D101" s="104">
        <f>D98</f>
        <v>235</v>
      </c>
      <c r="E101" s="26">
        <v>0.05</v>
      </c>
      <c r="F101" s="79">
        <f t="shared" si="27"/>
        <v>246.75</v>
      </c>
      <c r="G101" s="90" t="s">
        <v>47</v>
      </c>
      <c r="H101" s="80">
        <v>1.2</v>
      </c>
      <c r="I101" s="80">
        <f t="shared" si="28"/>
        <v>296.09999999999997</v>
      </c>
      <c r="J101" s="80">
        <v>0.71</v>
      </c>
      <c r="K101" s="80">
        <f t="shared" si="29"/>
        <v>175.1925</v>
      </c>
      <c r="L101" s="27">
        <f t="shared" si="30"/>
        <v>1.91</v>
      </c>
      <c r="M101" s="81">
        <f t="shared" si="31"/>
        <v>471.29249999999996</v>
      </c>
      <c r="N101" s="82"/>
      <c r="O101" s="3"/>
      <c r="P101" s="3"/>
      <c r="S101" s="35"/>
    </row>
    <row r="102" spans="1:19" s="4" customFormat="1" ht="15.75" customHeight="1">
      <c r="A102" s="78" t="s">
        <v>38</v>
      </c>
      <c r="B102" s="78" t="s">
        <v>39</v>
      </c>
      <c r="C102" s="100" t="s">
        <v>113</v>
      </c>
      <c r="D102" s="104">
        <f>D97*0.33/27</f>
        <v>14.731444444444445</v>
      </c>
      <c r="E102" s="26">
        <v>0.05</v>
      </c>
      <c r="F102" s="79">
        <f t="shared" si="27"/>
        <v>15.468016666666669</v>
      </c>
      <c r="G102" s="90" t="s">
        <v>98</v>
      </c>
      <c r="H102" s="80">
        <v>18</v>
      </c>
      <c r="I102" s="80">
        <f t="shared" si="28"/>
        <v>278.42430000000002</v>
      </c>
      <c r="J102" s="80">
        <v>38</v>
      </c>
      <c r="K102" s="80">
        <f t="shared" si="29"/>
        <v>587.78463333333343</v>
      </c>
      <c r="L102" s="27">
        <f t="shared" si="30"/>
        <v>56</v>
      </c>
      <c r="M102" s="81">
        <f t="shared" si="31"/>
        <v>866.20893333333345</v>
      </c>
      <c r="N102" s="82"/>
      <c r="O102" s="3"/>
      <c r="P102" s="3"/>
      <c r="S102" s="35"/>
    </row>
    <row r="103" spans="1:19" s="4" customFormat="1" ht="15.75" customHeight="1">
      <c r="A103" s="78" t="s">
        <v>38</v>
      </c>
      <c r="B103" s="78" t="s">
        <v>39</v>
      </c>
      <c r="C103" s="100" t="s">
        <v>105</v>
      </c>
      <c r="D103" s="104">
        <f>D98/1+1</f>
        <v>236</v>
      </c>
      <c r="E103" s="26">
        <v>0.05</v>
      </c>
      <c r="F103" s="79">
        <f t="shared" si="27"/>
        <v>247.8</v>
      </c>
      <c r="G103" s="90" t="s">
        <v>41</v>
      </c>
      <c r="H103" s="80">
        <v>20</v>
      </c>
      <c r="I103" s="80">
        <f t="shared" si="28"/>
        <v>4956</v>
      </c>
      <c r="J103" s="80">
        <v>12</v>
      </c>
      <c r="K103" s="80">
        <f t="shared" si="29"/>
        <v>2973.6000000000004</v>
      </c>
      <c r="L103" s="27">
        <f t="shared" si="30"/>
        <v>32</v>
      </c>
      <c r="M103" s="81">
        <f t="shared" si="31"/>
        <v>7929.6</v>
      </c>
      <c r="N103" s="82"/>
      <c r="O103" s="3"/>
      <c r="P103" s="3"/>
      <c r="S103" s="35"/>
    </row>
    <row r="104" spans="1:19" s="4" customFormat="1" ht="15.75" customHeight="1">
      <c r="A104" s="78"/>
      <c r="B104" s="78"/>
      <c r="C104" s="100"/>
      <c r="D104" s="104"/>
      <c r="E104" s="26"/>
      <c r="F104" s="79"/>
      <c r="G104" s="108" t="s">
        <v>34</v>
      </c>
      <c r="H104" s="80"/>
      <c r="I104" s="80"/>
      <c r="J104" s="80"/>
      <c r="K104" s="80"/>
      <c r="L104" s="27"/>
      <c r="M104" s="81"/>
      <c r="N104" s="82"/>
      <c r="O104" s="3"/>
      <c r="P104" s="3"/>
      <c r="S104" s="35"/>
    </row>
    <row r="105" spans="1:19" s="4" customFormat="1" ht="15.75" customHeight="1">
      <c r="A105" s="78"/>
      <c r="B105" s="78"/>
      <c r="C105" s="99" t="s">
        <v>114</v>
      </c>
      <c r="D105" s="104">
        <v>668.13</v>
      </c>
      <c r="E105" s="26"/>
      <c r="F105" s="79"/>
      <c r="G105" s="108" t="s">
        <v>34</v>
      </c>
      <c r="H105" s="80"/>
      <c r="I105" s="80"/>
      <c r="J105" s="80"/>
      <c r="K105" s="80"/>
      <c r="L105" s="27"/>
      <c r="M105" s="81"/>
      <c r="N105" s="82"/>
      <c r="O105" s="3"/>
      <c r="P105" s="3"/>
      <c r="S105" s="35"/>
    </row>
    <row r="106" spans="1:19" s="4" customFormat="1" ht="15.75" customHeight="1">
      <c r="A106" s="78" t="s">
        <v>38</v>
      </c>
      <c r="B106" s="78" t="s">
        <v>39</v>
      </c>
      <c r="C106" s="100" t="s">
        <v>108</v>
      </c>
      <c r="D106" s="104">
        <f>D105</f>
        <v>668.13</v>
      </c>
      <c r="E106" s="26">
        <v>0.05</v>
      </c>
      <c r="F106" s="79">
        <f t="shared" ref="F106:F112" si="32">D106*(1+E106)</f>
        <v>701.53650000000005</v>
      </c>
      <c r="G106" s="90" t="s">
        <v>49</v>
      </c>
      <c r="H106" s="80">
        <f>0.33*70/27+0.5</f>
        <v>1.3555555555555556</v>
      </c>
      <c r="I106" s="80">
        <f t="shared" ref="I106:I112" si="33">H106*F106</f>
        <v>950.97170000000006</v>
      </c>
      <c r="J106" s="80">
        <f>0.33*140/27</f>
        <v>1.7111111111111112</v>
      </c>
      <c r="K106" s="80">
        <f t="shared" ref="K106:K112" si="34">J106*F106</f>
        <v>1200.4069000000002</v>
      </c>
      <c r="L106" s="27">
        <f t="shared" ref="L106:L112" si="35">(H106+J106)</f>
        <v>3.0666666666666669</v>
      </c>
      <c r="M106" s="81">
        <f t="shared" ref="M106:M112" si="36">L106*F106</f>
        <v>2151.3786000000005</v>
      </c>
      <c r="N106" s="82"/>
      <c r="O106" s="3"/>
      <c r="P106" s="3"/>
      <c r="S106" s="35"/>
    </row>
    <row r="107" spans="1:19" s="4" customFormat="1" ht="15.75" customHeight="1">
      <c r="A107" s="78" t="s">
        <v>38</v>
      </c>
      <c r="B107" s="78" t="s">
        <v>39</v>
      </c>
      <c r="C107" s="100" t="s">
        <v>109</v>
      </c>
      <c r="D107" s="104">
        <v>207</v>
      </c>
      <c r="E107" s="26">
        <v>0.05</v>
      </c>
      <c r="F107" s="79">
        <f t="shared" si="32"/>
        <v>217.35000000000002</v>
      </c>
      <c r="G107" s="90" t="s">
        <v>47</v>
      </c>
      <c r="H107" s="80">
        <v>3</v>
      </c>
      <c r="I107" s="80">
        <f t="shared" si="33"/>
        <v>652.05000000000007</v>
      </c>
      <c r="J107" s="80">
        <v>1.33</v>
      </c>
      <c r="K107" s="80">
        <f t="shared" si="34"/>
        <v>289.07550000000003</v>
      </c>
      <c r="L107" s="27">
        <f t="shared" si="35"/>
        <v>4.33</v>
      </c>
      <c r="M107" s="81">
        <f t="shared" si="36"/>
        <v>941.1255000000001</v>
      </c>
      <c r="N107" s="82"/>
      <c r="O107" s="3"/>
      <c r="P107" s="3"/>
      <c r="S107" s="35"/>
    </row>
    <row r="108" spans="1:19" s="4" customFormat="1" ht="15.75" customHeight="1">
      <c r="A108" s="78" t="s">
        <v>38</v>
      </c>
      <c r="B108" s="78" t="s">
        <v>39</v>
      </c>
      <c r="C108" s="100" t="s">
        <v>110</v>
      </c>
      <c r="D108" s="104">
        <f>D106</f>
        <v>668.13</v>
      </c>
      <c r="E108" s="26">
        <v>0.05</v>
      </c>
      <c r="F108" s="79">
        <f t="shared" si="32"/>
        <v>701.53650000000005</v>
      </c>
      <c r="G108" s="90" t="s">
        <v>49</v>
      </c>
      <c r="H108" s="80">
        <v>0.35</v>
      </c>
      <c r="I108" s="80">
        <f t="shared" si="33"/>
        <v>245.53777500000001</v>
      </c>
      <c r="J108" s="80">
        <v>0.35</v>
      </c>
      <c r="K108" s="80">
        <f t="shared" si="34"/>
        <v>245.53777500000001</v>
      </c>
      <c r="L108" s="27">
        <f t="shared" si="35"/>
        <v>0.7</v>
      </c>
      <c r="M108" s="81">
        <f t="shared" si="36"/>
        <v>491.07555000000002</v>
      </c>
      <c r="N108" s="82"/>
      <c r="O108" s="3"/>
      <c r="P108" s="3"/>
      <c r="S108" s="35"/>
    </row>
    <row r="109" spans="1:19" s="4" customFormat="1" ht="15.75" customHeight="1">
      <c r="A109" s="78" t="s">
        <v>38</v>
      </c>
      <c r="B109" s="78" t="s">
        <v>39</v>
      </c>
      <c r="C109" s="100" t="s">
        <v>111</v>
      </c>
      <c r="D109" s="104">
        <f>D108*0.16</f>
        <v>106.9008</v>
      </c>
      <c r="E109" s="26">
        <v>0.05</v>
      </c>
      <c r="F109" s="79">
        <f t="shared" si="32"/>
        <v>112.24584000000002</v>
      </c>
      <c r="G109" s="90" t="s">
        <v>47</v>
      </c>
      <c r="H109" s="80">
        <v>0.71</v>
      </c>
      <c r="I109" s="80">
        <f t="shared" si="33"/>
        <v>79.694546400000007</v>
      </c>
      <c r="J109" s="80">
        <v>0.42</v>
      </c>
      <c r="K109" s="80">
        <f t="shared" si="34"/>
        <v>47.143252800000006</v>
      </c>
      <c r="L109" s="27">
        <f t="shared" si="35"/>
        <v>1.1299999999999999</v>
      </c>
      <c r="M109" s="81">
        <f t="shared" si="36"/>
        <v>126.83779920000001</v>
      </c>
      <c r="N109" s="82"/>
      <c r="O109" s="3"/>
      <c r="P109" s="3"/>
      <c r="S109" s="35"/>
    </row>
    <row r="110" spans="1:19" s="4" customFormat="1" ht="15.75" customHeight="1">
      <c r="A110" s="78" t="s">
        <v>38</v>
      </c>
      <c r="B110" s="78" t="s">
        <v>39</v>
      </c>
      <c r="C110" s="100" t="s">
        <v>112</v>
      </c>
      <c r="D110" s="104">
        <f>D107</f>
        <v>207</v>
      </c>
      <c r="E110" s="26">
        <v>0.05</v>
      </c>
      <c r="F110" s="79">
        <f t="shared" si="32"/>
        <v>217.35000000000002</v>
      </c>
      <c r="G110" s="90" t="s">
        <v>47</v>
      </c>
      <c r="H110" s="80">
        <v>1.2</v>
      </c>
      <c r="I110" s="80">
        <f t="shared" si="33"/>
        <v>260.82</v>
      </c>
      <c r="J110" s="80">
        <v>0.71</v>
      </c>
      <c r="K110" s="80">
        <f t="shared" si="34"/>
        <v>154.3185</v>
      </c>
      <c r="L110" s="27">
        <f t="shared" si="35"/>
        <v>1.91</v>
      </c>
      <c r="M110" s="81">
        <f t="shared" si="36"/>
        <v>415.13850000000002</v>
      </c>
      <c r="N110" s="82"/>
      <c r="O110" s="3"/>
      <c r="P110" s="3"/>
      <c r="S110" s="35"/>
    </row>
    <row r="111" spans="1:19" s="4" customFormat="1" ht="15.75" customHeight="1">
      <c r="A111" s="78" t="s">
        <v>38</v>
      </c>
      <c r="B111" s="78" t="s">
        <v>39</v>
      </c>
      <c r="C111" s="100" t="s">
        <v>113</v>
      </c>
      <c r="D111" s="104">
        <f>D106*0.33/27</f>
        <v>8.166033333333333</v>
      </c>
      <c r="E111" s="26">
        <v>0.05</v>
      </c>
      <c r="F111" s="79">
        <f t="shared" si="32"/>
        <v>8.5743349999999996</v>
      </c>
      <c r="G111" s="90" t="s">
        <v>98</v>
      </c>
      <c r="H111" s="80">
        <v>18</v>
      </c>
      <c r="I111" s="80">
        <f t="shared" si="33"/>
        <v>154.33803</v>
      </c>
      <c r="J111" s="80">
        <v>38</v>
      </c>
      <c r="K111" s="80">
        <f t="shared" si="34"/>
        <v>325.82472999999999</v>
      </c>
      <c r="L111" s="27">
        <f t="shared" si="35"/>
        <v>56</v>
      </c>
      <c r="M111" s="81">
        <f t="shared" si="36"/>
        <v>480.16275999999999</v>
      </c>
      <c r="N111" s="82"/>
      <c r="O111" s="3"/>
      <c r="P111" s="3"/>
      <c r="S111" s="35"/>
    </row>
    <row r="112" spans="1:19" s="4" customFormat="1" ht="15.75" customHeight="1">
      <c r="A112" s="78" t="s">
        <v>38</v>
      </c>
      <c r="B112" s="78" t="s">
        <v>39</v>
      </c>
      <c r="C112" s="100" t="s">
        <v>105</v>
      </c>
      <c r="D112" s="104">
        <f>D107/1+1</f>
        <v>208</v>
      </c>
      <c r="E112" s="26">
        <v>0.05</v>
      </c>
      <c r="F112" s="79">
        <f t="shared" si="32"/>
        <v>218.4</v>
      </c>
      <c r="G112" s="90" t="s">
        <v>41</v>
      </c>
      <c r="H112" s="80">
        <v>20</v>
      </c>
      <c r="I112" s="80">
        <f t="shared" si="33"/>
        <v>4368</v>
      </c>
      <c r="J112" s="80">
        <v>12</v>
      </c>
      <c r="K112" s="80">
        <f t="shared" si="34"/>
        <v>2620.8000000000002</v>
      </c>
      <c r="L112" s="27">
        <f t="shared" si="35"/>
        <v>32</v>
      </c>
      <c r="M112" s="81">
        <f t="shared" si="36"/>
        <v>6988.8</v>
      </c>
      <c r="N112" s="82"/>
      <c r="O112" s="3"/>
      <c r="P112" s="3"/>
      <c r="S112" s="35"/>
    </row>
    <row r="113" spans="1:19" s="4" customFormat="1">
      <c r="A113" s="78"/>
      <c r="B113" s="78"/>
      <c r="C113" s="88"/>
      <c r="D113" s="89"/>
      <c r="E113" s="26"/>
      <c r="F113" s="79"/>
      <c r="G113" s="90"/>
      <c r="H113" s="80"/>
      <c r="I113" s="65"/>
      <c r="J113" s="65"/>
      <c r="K113" s="65"/>
      <c r="L113" s="72"/>
      <c r="M113" s="66"/>
      <c r="N113" s="22"/>
      <c r="O113" s="3"/>
      <c r="P113" s="3"/>
      <c r="S113" s="35"/>
    </row>
    <row r="114" spans="1:19" s="4" customFormat="1">
      <c r="A114" s="56"/>
      <c r="B114" s="56"/>
      <c r="C114" s="56" t="s">
        <v>115</v>
      </c>
      <c r="D114" s="94"/>
      <c r="E114" s="19"/>
      <c r="F114" s="19"/>
      <c r="G114" s="19"/>
      <c r="H114" s="19"/>
      <c r="I114" s="19"/>
      <c r="J114" s="19"/>
      <c r="K114" s="19"/>
      <c r="L114" s="71"/>
      <c r="M114" s="19"/>
      <c r="N114" s="20">
        <f>SUM(M117:M122)</f>
        <v>14009.467500000001</v>
      </c>
      <c r="O114" s="3" t="s">
        <v>25</v>
      </c>
      <c r="P114" s="3"/>
      <c r="S114" s="35"/>
    </row>
    <row r="115" spans="1:19" s="4" customFormat="1" ht="15.75" customHeight="1">
      <c r="A115" s="62"/>
      <c r="B115" s="62"/>
      <c r="C115" s="62"/>
      <c r="D115" s="63"/>
      <c r="E115" s="64"/>
      <c r="F115" s="25"/>
      <c r="G115" s="65"/>
      <c r="H115" s="80"/>
      <c r="I115" s="65"/>
      <c r="J115" s="65"/>
      <c r="K115" s="65"/>
      <c r="L115" s="72"/>
      <c r="M115" s="66"/>
      <c r="N115" s="22"/>
      <c r="O115" s="3"/>
      <c r="P115" s="3"/>
      <c r="S115" s="35"/>
    </row>
    <row r="116" spans="1:19" s="4" customFormat="1" ht="15.75" customHeight="1">
      <c r="A116" s="78"/>
      <c r="B116" s="78"/>
      <c r="C116" s="99" t="s">
        <v>116</v>
      </c>
      <c r="D116" s="101"/>
      <c r="E116" s="101"/>
      <c r="F116" s="101"/>
      <c r="G116" s="102"/>
      <c r="H116" s="80"/>
      <c r="I116" s="80"/>
      <c r="J116" s="80"/>
      <c r="K116" s="80"/>
      <c r="L116" s="27"/>
      <c r="M116" s="81"/>
      <c r="N116" s="82"/>
      <c r="O116" s="3"/>
      <c r="P116" s="3"/>
      <c r="S116" s="35"/>
    </row>
    <row r="117" spans="1:19" s="4" customFormat="1" ht="63">
      <c r="A117" s="78" t="s">
        <v>38</v>
      </c>
      <c r="B117" s="78" t="s">
        <v>39</v>
      </c>
      <c r="C117" s="103" t="s">
        <v>117</v>
      </c>
      <c r="D117" s="104">
        <v>3</v>
      </c>
      <c r="E117" s="26">
        <v>0.05</v>
      </c>
      <c r="F117" s="79">
        <f>D117*(1+E117)</f>
        <v>3.1500000000000004</v>
      </c>
      <c r="G117" s="90" t="s">
        <v>41</v>
      </c>
      <c r="H117" s="80">
        <f>4*6</f>
        <v>24</v>
      </c>
      <c r="I117" s="80">
        <f>H117*F117</f>
        <v>75.600000000000009</v>
      </c>
      <c r="J117" s="80">
        <f>4*8</f>
        <v>32</v>
      </c>
      <c r="K117" s="80">
        <f>J117*F117</f>
        <v>100.80000000000001</v>
      </c>
      <c r="L117" s="27">
        <f>(H117+J117)</f>
        <v>56</v>
      </c>
      <c r="M117" s="81">
        <f>L117*F117</f>
        <v>176.40000000000003</v>
      </c>
      <c r="N117" s="82"/>
      <c r="O117" s="3"/>
      <c r="P117" s="3"/>
      <c r="S117" s="35"/>
    </row>
    <row r="118" spans="1:19" s="4" customFormat="1" ht="47.25">
      <c r="A118" s="78" t="s">
        <v>38</v>
      </c>
      <c r="B118" s="78" t="s">
        <v>39</v>
      </c>
      <c r="C118" s="103" t="s">
        <v>118</v>
      </c>
      <c r="D118" s="104">
        <v>16</v>
      </c>
      <c r="E118" s="26">
        <v>0.05</v>
      </c>
      <c r="F118" s="79">
        <f>D118*(1+E118)</f>
        <v>16.8</v>
      </c>
      <c r="G118" s="90" t="s">
        <v>49</v>
      </c>
      <c r="H118" s="80">
        <v>14.5</v>
      </c>
      <c r="I118" s="80">
        <f>H118*F118</f>
        <v>243.60000000000002</v>
      </c>
      <c r="J118" s="80">
        <v>16.5</v>
      </c>
      <c r="K118" s="80">
        <f>J118*F118</f>
        <v>277.2</v>
      </c>
      <c r="L118" s="27">
        <f>(H118+J118)</f>
        <v>31</v>
      </c>
      <c r="M118" s="81">
        <f>L118*F118</f>
        <v>520.80000000000007</v>
      </c>
      <c r="N118" s="82"/>
      <c r="O118" s="3"/>
      <c r="P118" s="3"/>
      <c r="S118" s="35"/>
    </row>
    <row r="119" spans="1:19" s="4" customFormat="1" ht="47.25">
      <c r="A119" s="78" t="s">
        <v>38</v>
      </c>
      <c r="B119" s="78" t="s">
        <v>39</v>
      </c>
      <c r="C119" s="103" t="s">
        <v>119</v>
      </c>
      <c r="D119" s="104">
        <f>3*21</f>
        <v>63</v>
      </c>
      <c r="E119" s="26">
        <v>0.05</v>
      </c>
      <c r="F119" s="79">
        <f>D119*(1+E119)</f>
        <v>66.150000000000006</v>
      </c>
      <c r="G119" s="90" t="s">
        <v>49</v>
      </c>
      <c r="H119" s="80">
        <v>14.5</v>
      </c>
      <c r="I119" s="80">
        <f t="shared" ref="I119:I121" si="37">H119*F119</f>
        <v>959.17500000000007</v>
      </c>
      <c r="J119" s="80">
        <v>16.5</v>
      </c>
      <c r="K119" s="80">
        <f>J119*F119</f>
        <v>1091.4750000000001</v>
      </c>
      <c r="L119" s="27">
        <f>(H119+J119)</f>
        <v>31</v>
      </c>
      <c r="M119" s="81">
        <f>L119*F119</f>
        <v>2050.65</v>
      </c>
      <c r="N119" s="82"/>
      <c r="O119" s="3"/>
      <c r="P119" s="3"/>
      <c r="S119" s="35"/>
    </row>
    <row r="120" spans="1:19" s="4" customFormat="1" ht="47.25">
      <c r="A120" s="78" t="s">
        <v>38</v>
      </c>
      <c r="B120" s="78" t="s">
        <v>39</v>
      </c>
      <c r="C120" s="103" t="s">
        <v>120</v>
      </c>
      <c r="D120" s="104">
        <f>45*7.33</f>
        <v>329.85</v>
      </c>
      <c r="E120" s="26">
        <v>0.05</v>
      </c>
      <c r="F120" s="79">
        <f>D120*(1+E120)</f>
        <v>346.34250000000003</v>
      </c>
      <c r="G120" s="90" t="s">
        <v>49</v>
      </c>
      <c r="H120" s="80">
        <v>14.5</v>
      </c>
      <c r="I120" s="80">
        <f t="shared" si="37"/>
        <v>5021.9662500000004</v>
      </c>
      <c r="J120" s="80">
        <v>16.5</v>
      </c>
      <c r="K120" s="80">
        <f>J120*F120</f>
        <v>5714.6512500000008</v>
      </c>
      <c r="L120" s="27">
        <f>(H120+J120)</f>
        <v>31</v>
      </c>
      <c r="M120" s="81">
        <f>L120*F120</f>
        <v>10736.6175</v>
      </c>
      <c r="N120" s="82"/>
      <c r="O120" s="3"/>
      <c r="P120" s="3"/>
      <c r="S120" s="35"/>
    </row>
    <row r="121" spans="1:19" s="4" customFormat="1">
      <c r="A121" s="78" t="s">
        <v>38</v>
      </c>
      <c r="B121" s="78" t="s">
        <v>39</v>
      </c>
      <c r="C121" s="103" t="s">
        <v>121</v>
      </c>
      <c r="D121" s="104">
        <v>1</v>
      </c>
      <c r="E121" s="26">
        <v>0.05</v>
      </c>
      <c r="F121" s="79">
        <f>D121*(1+E121)</f>
        <v>1.05</v>
      </c>
      <c r="G121" s="90" t="s">
        <v>27</v>
      </c>
      <c r="H121" s="80">
        <v>500</v>
      </c>
      <c r="I121" s="80">
        <f t="shared" si="37"/>
        <v>525</v>
      </c>
      <c r="J121" s="80">
        <v>0</v>
      </c>
      <c r="K121" s="80">
        <f>J121*F121</f>
        <v>0</v>
      </c>
      <c r="L121" s="27">
        <f>(H121+J121)</f>
        <v>500</v>
      </c>
      <c r="M121" s="81">
        <f>L121*F121</f>
        <v>525</v>
      </c>
      <c r="N121" s="82"/>
      <c r="O121" s="3"/>
      <c r="P121" s="3"/>
      <c r="S121" s="35"/>
    </row>
    <row r="122" spans="1:19" s="4" customFormat="1">
      <c r="A122" s="78"/>
      <c r="B122" s="78"/>
      <c r="C122" s="103"/>
      <c r="D122" s="104"/>
      <c r="E122" s="26"/>
      <c r="F122" s="79"/>
      <c r="G122" s="90"/>
      <c r="H122" s="80"/>
      <c r="I122" s="80"/>
      <c r="J122" s="80"/>
      <c r="K122" s="80"/>
      <c r="L122" s="27"/>
      <c r="M122" s="107"/>
      <c r="N122" s="109"/>
      <c r="O122" s="3"/>
      <c r="P122" s="3"/>
      <c r="S122" s="35"/>
    </row>
    <row r="123" spans="1:19" s="4" customFormat="1">
      <c r="A123" s="56"/>
      <c r="B123" s="56"/>
      <c r="C123" s="56" t="s">
        <v>122</v>
      </c>
      <c r="D123" s="94"/>
      <c r="E123" s="19"/>
      <c r="F123" s="19"/>
      <c r="G123" s="19"/>
      <c r="H123" s="19"/>
      <c r="I123" s="19"/>
      <c r="J123" s="19"/>
      <c r="K123" s="19"/>
      <c r="L123" s="71"/>
      <c r="M123" s="19"/>
      <c r="N123" s="20">
        <f>SUM(M124:M447)</f>
        <v>666534.90684562293</v>
      </c>
      <c r="O123" s="3" t="s">
        <v>25</v>
      </c>
      <c r="P123" s="3"/>
      <c r="S123" s="35"/>
    </row>
    <row r="124" spans="1:19" s="4" customFormat="1" ht="15.75" customHeight="1">
      <c r="A124" s="62"/>
      <c r="B124" s="62"/>
      <c r="C124" s="62"/>
      <c r="D124" s="63"/>
      <c r="E124" s="64"/>
      <c r="F124" s="25"/>
      <c r="G124" s="65"/>
      <c r="H124" s="65"/>
      <c r="I124" s="65"/>
      <c r="J124" s="65"/>
      <c r="K124" s="65"/>
      <c r="L124" s="72"/>
      <c r="M124" s="66"/>
      <c r="N124" s="22"/>
      <c r="O124" s="3"/>
      <c r="P124" s="3"/>
      <c r="S124" s="35"/>
    </row>
    <row r="125" spans="1:19" s="4" customFormat="1" ht="15.75" customHeight="1">
      <c r="A125" s="78"/>
      <c r="B125" s="78"/>
      <c r="C125" s="99" t="s">
        <v>123</v>
      </c>
      <c r="D125" s="104"/>
      <c r="E125" s="26"/>
      <c r="F125" s="79"/>
      <c r="G125" s="90"/>
      <c r="H125" s="80"/>
      <c r="I125" s="80"/>
      <c r="J125" s="80"/>
      <c r="K125" s="80"/>
      <c r="L125" s="27"/>
      <c r="M125" s="81"/>
      <c r="N125" s="82"/>
      <c r="O125" s="3"/>
      <c r="P125" s="3"/>
      <c r="S125" s="35"/>
    </row>
    <row r="126" spans="1:19" s="4" customFormat="1" ht="15.75" customHeight="1">
      <c r="A126" s="78"/>
      <c r="B126" s="78"/>
      <c r="C126" s="106" t="s">
        <v>124</v>
      </c>
      <c r="D126" s="104">
        <v>116.26</v>
      </c>
      <c r="E126" s="26"/>
      <c r="F126" s="79"/>
      <c r="G126" s="90"/>
      <c r="H126" s="80"/>
      <c r="I126" s="80"/>
      <c r="J126" s="80"/>
      <c r="K126" s="80"/>
      <c r="L126" s="27"/>
      <c r="M126" s="81"/>
      <c r="N126" s="82"/>
      <c r="O126" s="3"/>
      <c r="P126" s="3"/>
      <c r="S126" s="35"/>
    </row>
    <row r="127" spans="1:19" s="4" customFormat="1" ht="15.75" customHeight="1">
      <c r="A127" s="78" t="s">
        <v>38</v>
      </c>
      <c r="B127" s="78" t="s">
        <v>39</v>
      </c>
      <c r="C127" s="100" t="s">
        <v>125</v>
      </c>
      <c r="D127" s="104">
        <f>116*10.5</f>
        <v>1218</v>
      </c>
      <c r="E127" s="26">
        <v>0.05</v>
      </c>
      <c r="F127" s="79">
        <f t="shared" ref="F127:F128" si="38">D127*(1+E127)</f>
        <v>1278.9000000000001</v>
      </c>
      <c r="G127" s="90" t="s">
        <v>49</v>
      </c>
      <c r="H127" s="80">
        <v>0.41</v>
      </c>
      <c r="I127" s="80">
        <f t="shared" ref="I127:I128" si="39">H127*F127</f>
        <v>524.34900000000005</v>
      </c>
      <c r="J127" s="80">
        <v>0.8</v>
      </c>
      <c r="K127" s="80">
        <f t="shared" ref="K127:K128" si="40">J127*F127</f>
        <v>1023.1200000000001</v>
      </c>
      <c r="L127" s="27">
        <f t="shared" ref="L127:L128" si="41">(H127+J127)</f>
        <v>1.21</v>
      </c>
      <c r="M127" s="81">
        <f t="shared" ref="M127:M128" si="42">L127*F127</f>
        <v>1547.4690000000001</v>
      </c>
      <c r="N127" s="82"/>
      <c r="O127" s="3"/>
      <c r="P127" s="3"/>
      <c r="S127" s="35"/>
    </row>
    <row r="128" spans="1:19" s="4" customFormat="1" ht="15.75" customHeight="1">
      <c r="A128" s="78" t="s">
        <v>38</v>
      </c>
      <c r="B128" s="78" t="s">
        <v>39</v>
      </c>
      <c r="C128" s="100" t="s">
        <v>126</v>
      </c>
      <c r="D128" s="104">
        <f>116*10.5</f>
        <v>1218</v>
      </c>
      <c r="E128" s="26">
        <v>0.05</v>
      </c>
      <c r="F128" s="79">
        <f t="shared" si="38"/>
        <v>1278.9000000000001</v>
      </c>
      <c r="G128" s="90" t="s">
        <v>49</v>
      </c>
      <c r="H128" s="80">
        <v>0.41</v>
      </c>
      <c r="I128" s="80">
        <f t="shared" si="39"/>
        <v>524.34900000000005</v>
      </c>
      <c r="J128" s="80">
        <v>0.8</v>
      </c>
      <c r="K128" s="80">
        <f t="shared" si="40"/>
        <v>1023.1200000000001</v>
      </c>
      <c r="L128" s="27">
        <f t="shared" si="41"/>
        <v>1.21</v>
      </c>
      <c r="M128" s="81">
        <f t="shared" si="42"/>
        <v>1547.4690000000001</v>
      </c>
      <c r="N128" s="82"/>
      <c r="O128" s="3"/>
      <c r="P128" s="3"/>
      <c r="S128" s="35"/>
    </row>
    <row r="129" spans="1:19" s="4" customFormat="1" ht="15.75" customHeight="1">
      <c r="A129" s="78"/>
      <c r="B129" s="78"/>
      <c r="C129" s="100"/>
      <c r="D129" s="104"/>
      <c r="E129" s="26"/>
      <c r="F129" s="79"/>
      <c r="G129" s="90"/>
      <c r="H129" s="80"/>
      <c r="I129" s="80"/>
      <c r="J129" s="80"/>
      <c r="K129" s="80"/>
      <c r="L129" s="27"/>
      <c r="M129" s="81"/>
      <c r="N129" s="82"/>
      <c r="O129" s="3"/>
      <c r="P129" s="3"/>
      <c r="S129" s="35"/>
    </row>
    <row r="130" spans="1:19" s="4" customFormat="1" ht="15.75" customHeight="1">
      <c r="A130" s="78"/>
      <c r="B130" s="78"/>
      <c r="C130" s="106" t="s">
        <v>127</v>
      </c>
      <c r="D130" s="104">
        <v>25.92</v>
      </c>
      <c r="E130" s="26"/>
      <c r="F130" s="79"/>
      <c r="G130" s="90"/>
      <c r="H130" s="80"/>
      <c r="I130" s="80"/>
      <c r="J130" s="80"/>
      <c r="K130" s="80"/>
      <c r="L130" s="27"/>
      <c r="M130" s="81"/>
      <c r="N130" s="82"/>
      <c r="O130" s="3"/>
      <c r="P130" s="3"/>
      <c r="S130" s="35"/>
    </row>
    <row r="131" spans="1:19" s="4" customFormat="1" ht="15.75" customHeight="1">
      <c r="A131" s="78" t="s">
        <v>38</v>
      </c>
      <c r="B131" s="78" t="s">
        <v>39</v>
      </c>
      <c r="C131" s="100" t="s">
        <v>128</v>
      </c>
      <c r="D131" s="104">
        <f>D130*10</f>
        <v>259.20000000000005</v>
      </c>
      <c r="E131" s="26">
        <v>0.05</v>
      </c>
      <c r="F131" s="79">
        <f t="shared" ref="F131:F132" si="43">D131*(1+E131)</f>
        <v>272.16000000000008</v>
      </c>
      <c r="G131" s="90" t="s">
        <v>49</v>
      </c>
      <c r="H131" s="80">
        <v>1.5</v>
      </c>
      <c r="I131" s="80">
        <f t="shared" ref="I131:I132" si="44">H131*F131</f>
        <v>408.24000000000012</v>
      </c>
      <c r="J131" s="80">
        <v>1.1499999999999999</v>
      </c>
      <c r="K131" s="80">
        <f t="shared" ref="K131:K132" si="45">J131*F131</f>
        <v>312.98400000000009</v>
      </c>
      <c r="L131" s="27">
        <f t="shared" ref="L131:L132" si="46">(H131+J131)</f>
        <v>2.65</v>
      </c>
      <c r="M131" s="81">
        <f t="shared" ref="M131:M132" si="47">L131*F131</f>
        <v>721.22400000000016</v>
      </c>
      <c r="N131" s="82"/>
      <c r="O131" s="3"/>
      <c r="P131" s="3"/>
      <c r="S131" s="35"/>
    </row>
    <row r="132" spans="1:19" s="4" customFormat="1" ht="15.75" customHeight="1">
      <c r="A132" s="78" t="s">
        <v>38</v>
      </c>
      <c r="B132" s="78" t="s">
        <v>39</v>
      </c>
      <c r="C132" s="100" t="s">
        <v>129</v>
      </c>
      <c r="D132" s="104">
        <f>D130*2</f>
        <v>51.84</v>
      </c>
      <c r="E132" s="26">
        <v>0.05</v>
      </c>
      <c r="F132" s="79">
        <f t="shared" si="43"/>
        <v>54.432000000000009</v>
      </c>
      <c r="G132" s="90" t="s">
        <v>47</v>
      </c>
      <c r="H132" s="80">
        <v>1.1000000000000001</v>
      </c>
      <c r="I132" s="80">
        <f t="shared" si="44"/>
        <v>59.875200000000014</v>
      </c>
      <c r="J132" s="80">
        <v>0.95</v>
      </c>
      <c r="K132" s="80">
        <f t="shared" si="45"/>
        <v>51.710400000000007</v>
      </c>
      <c r="L132" s="27">
        <f t="shared" si="46"/>
        <v>2.0499999999999998</v>
      </c>
      <c r="M132" s="81">
        <f t="shared" si="47"/>
        <v>111.58560000000001</v>
      </c>
      <c r="N132" s="82"/>
      <c r="O132" s="3"/>
      <c r="P132" s="3"/>
      <c r="S132" s="35"/>
    </row>
    <row r="133" spans="1:19" s="4" customFormat="1" ht="15.75" customHeight="1">
      <c r="A133" s="78" t="s">
        <v>38</v>
      </c>
      <c r="B133" s="78" t="s">
        <v>39</v>
      </c>
      <c r="C133" s="100" t="s">
        <v>130</v>
      </c>
      <c r="D133" s="104">
        <f>26*10.5/32</f>
        <v>8.53125</v>
      </c>
      <c r="E133" s="26">
        <v>0.05</v>
      </c>
      <c r="F133" s="79">
        <f t="shared" ref="F133" si="48">D133*(1+E133)</f>
        <v>8.9578125000000011</v>
      </c>
      <c r="G133" s="90" t="s">
        <v>41</v>
      </c>
      <c r="H133" s="80">
        <f>0.22*32</f>
        <v>7.04</v>
      </c>
      <c r="I133" s="80">
        <f t="shared" ref="I133" si="49">H133*F133</f>
        <v>63.063000000000009</v>
      </c>
      <c r="J133" s="80">
        <f>0.34*32</f>
        <v>10.88</v>
      </c>
      <c r="K133" s="80">
        <f t="shared" ref="K133" si="50">J133*F133</f>
        <v>97.461000000000013</v>
      </c>
      <c r="L133" s="27">
        <f t="shared" ref="L133" si="51">(H133+J133)</f>
        <v>17.920000000000002</v>
      </c>
      <c r="M133" s="81">
        <f t="shared" ref="M133" si="52">L133*F133</f>
        <v>160.52400000000003</v>
      </c>
      <c r="N133" s="82"/>
      <c r="O133" s="3"/>
      <c r="P133" s="3"/>
      <c r="S133" s="35"/>
    </row>
    <row r="134" spans="1:19" s="4" customFormat="1" ht="15.75" customHeight="1">
      <c r="A134" s="78" t="s">
        <v>38</v>
      </c>
      <c r="B134" s="78" t="s">
        <v>39</v>
      </c>
      <c r="C134" s="100" t="s">
        <v>131</v>
      </c>
      <c r="D134" s="104">
        <f>26*2</f>
        <v>52</v>
      </c>
      <c r="E134" s="26">
        <v>0.05</v>
      </c>
      <c r="F134" s="79">
        <f t="shared" ref="F134" si="53">D134*(1+E134)</f>
        <v>54.6</v>
      </c>
      <c r="G134" s="90" t="s">
        <v>47</v>
      </c>
      <c r="H134" s="80">
        <v>7.0000000000000007E-2</v>
      </c>
      <c r="I134" s="80">
        <f t="shared" ref="I134" si="54">H134*F134</f>
        <v>3.8220000000000005</v>
      </c>
      <c r="J134" s="80">
        <v>0.1</v>
      </c>
      <c r="K134" s="80">
        <f t="shared" ref="K134" si="55">J134*F134</f>
        <v>5.4600000000000009</v>
      </c>
      <c r="L134" s="27">
        <f t="shared" ref="L134" si="56">(H134+J134)</f>
        <v>0.17</v>
      </c>
      <c r="M134" s="81">
        <f t="shared" ref="M134" si="57">L134*F134</f>
        <v>9.282</v>
      </c>
      <c r="N134" s="82"/>
      <c r="O134" s="3"/>
      <c r="P134" s="3"/>
      <c r="S134" s="35"/>
    </row>
    <row r="135" spans="1:19" s="4" customFormat="1" ht="15.75" customHeight="1">
      <c r="A135" s="78" t="s">
        <v>38</v>
      </c>
      <c r="B135" s="78" t="s">
        <v>39</v>
      </c>
      <c r="C135" s="100" t="s">
        <v>132</v>
      </c>
      <c r="D135" s="104">
        <f>26*10.5</f>
        <v>273</v>
      </c>
      <c r="E135" s="26">
        <v>0.05</v>
      </c>
      <c r="F135" s="79">
        <f t="shared" ref="F135" si="58">D135*(1+E135)</f>
        <v>286.65000000000003</v>
      </c>
      <c r="G135" s="90" t="s">
        <v>49</v>
      </c>
      <c r="H135" s="80">
        <v>0.41</v>
      </c>
      <c r="I135" s="80">
        <f t="shared" ref="I135" si="59">H135*F135</f>
        <v>117.52650000000001</v>
      </c>
      <c r="J135" s="80">
        <v>0.8</v>
      </c>
      <c r="K135" s="80">
        <f t="shared" ref="K135" si="60">J135*F135</f>
        <v>229.32000000000005</v>
      </c>
      <c r="L135" s="27">
        <f t="shared" ref="L135" si="61">(H135+J135)</f>
        <v>1.21</v>
      </c>
      <c r="M135" s="81">
        <f t="shared" ref="M135" si="62">L135*F135</f>
        <v>346.84650000000005</v>
      </c>
      <c r="N135" s="82"/>
      <c r="O135" s="3"/>
      <c r="P135" s="3"/>
      <c r="S135" s="35"/>
    </row>
    <row r="136" spans="1:19" s="4" customFormat="1" ht="15.75" customHeight="1">
      <c r="A136" s="78"/>
      <c r="B136" s="78"/>
      <c r="C136" s="100"/>
      <c r="D136" s="104"/>
      <c r="E136" s="26"/>
      <c r="F136" s="79"/>
      <c r="G136" s="90"/>
      <c r="H136" s="80"/>
      <c r="I136" s="80"/>
      <c r="J136" s="80"/>
      <c r="K136" s="80"/>
      <c r="L136" s="27"/>
      <c r="M136" s="81"/>
      <c r="N136" s="82"/>
      <c r="O136" s="3"/>
      <c r="P136" s="3"/>
      <c r="S136" s="35"/>
    </row>
    <row r="137" spans="1:19" s="4" customFormat="1" ht="15.75" customHeight="1">
      <c r="A137" s="78"/>
      <c r="B137" s="78"/>
      <c r="C137" s="106" t="s">
        <v>133</v>
      </c>
      <c r="D137" s="104">
        <v>11.13</v>
      </c>
      <c r="E137" s="26"/>
      <c r="F137" s="79"/>
      <c r="G137" s="90"/>
      <c r="H137" s="80"/>
      <c r="I137" s="80"/>
      <c r="J137" s="80"/>
      <c r="K137" s="80"/>
      <c r="L137" s="27"/>
      <c r="M137" s="81"/>
      <c r="N137" s="82"/>
      <c r="O137" s="3"/>
      <c r="P137" s="3"/>
      <c r="S137" s="35"/>
    </row>
    <row r="138" spans="1:19" s="4" customFormat="1" ht="15.75" customHeight="1">
      <c r="A138" s="78" t="s">
        <v>38</v>
      </c>
      <c r="B138" s="78" t="s">
        <v>39</v>
      </c>
      <c r="C138" s="100" t="s">
        <v>128</v>
      </c>
      <c r="D138" s="104">
        <f>D137*10</f>
        <v>111.30000000000001</v>
      </c>
      <c r="E138" s="26">
        <v>0.05</v>
      </c>
      <c r="F138" s="79">
        <f t="shared" si="12"/>
        <v>116.86500000000002</v>
      </c>
      <c r="G138" s="90" t="s">
        <v>49</v>
      </c>
      <c r="H138" s="80">
        <v>1.5</v>
      </c>
      <c r="I138" s="80">
        <f t="shared" si="13"/>
        <v>175.29750000000004</v>
      </c>
      <c r="J138" s="80">
        <v>1.1499999999999999</v>
      </c>
      <c r="K138" s="80">
        <f t="shared" si="14"/>
        <v>134.39475000000002</v>
      </c>
      <c r="L138" s="27">
        <f t="shared" si="15"/>
        <v>2.65</v>
      </c>
      <c r="M138" s="81">
        <f t="shared" si="16"/>
        <v>309.69225000000006</v>
      </c>
      <c r="N138" s="82"/>
      <c r="O138" s="3"/>
      <c r="P138" s="3"/>
      <c r="S138" s="35"/>
    </row>
    <row r="139" spans="1:19" s="4" customFormat="1" ht="15.75" customHeight="1">
      <c r="A139" s="78" t="s">
        <v>38</v>
      </c>
      <c r="B139" s="78" t="s">
        <v>39</v>
      </c>
      <c r="C139" s="100" t="s">
        <v>129</v>
      </c>
      <c r="D139" s="104">
        <f>D137*2</f>
        <v>22.26</v>
      </c>
      <c r="E139" s="26">
        <v>0.05</v>
      </c>
      <c r="F139" s="79">
        <f t="shared" si="12"/>
        <v>23.373000000000001</v>
      </c>
      <c r="G139" s="90" t="s">
        <v>47</v>
      </c>
      <c r="H139" s="80">
        <v>1.1000000000000001</v>
      </c>
      <c r="I139" s="80">
        <f t="shared" si="13"/>
        <v>25.710300000000004</v>
      </c>
      <c r="J139" s="80">
        <v>0.95</v>
      </c>
      <c r="K139" s="80">
        <f t="shared" si="14"/>
        <v>22.204350000000002</v>
      </c>
      <c r="L139" s="27">
        <f t="shared" si="15"/>
        <v>2.0499999999999998</v>
      </c>
      <c r="M139" s="81">
        <f t="shared" si="16"/>
        <v>47.914649999999995</v>
      </c>
      <c r="N139" s="82"/>
      <c r="O139" s="3"/>
      <c r="P139" s="3"/>
      <c r="S139" s="35"/>
    </row>
    <row r="140" spans="1:19" s="4" customFormat="1" ht="15.75" customHeight="1">
      <c r="A140" s="78" t="s">
        <v>38</v>
      </c>
      <c r="B140" s="78" t="s">
        <v>39</v>
      </c>
      <c r="C140" s="100" t="s">
        <v>134</v>
      </c>
      <c r="D140" s="104">
        <f>11*10.5/32</f>
        <v>3.609375</v>
      </c>
      <c r="E140" s="26">
        <v>0.05</v>
      </c>
      <c r="F140" s="79">
        <f t="shared" ref="F140:F142" si="63">D140*(1+E140)</f>
        <v>3.7898437500000002</v>
      </c>
      <c r="G140" s="90" t="s">
        <v>41</v>
      </c>
      <c r="H140" s="80">
        <f>0.22*32</f>
        <v>7.04</v>
      </c>
      <c r="I140" s="80">
        <f t="shared" si="13"/>
        <v>26.680500000000002</v>
      </c>
      <c r="J140" s="80">
        <f>0.34*32</f>
        <v>10.88</v>
      </c>
      <c r="K140" s="80">
        <f t="shared" ref="K140:K142" si="64">J140*F140</f>
        <v>41.233500000000006</v>
      </c>
      <c r="L140" s="27">
        <f t="shared" ref="L140:L142" si="65">(H140+J140)</f>
        <v>17.920000000000002</v>
      </c>
      <c r="M140" s="81">
        <f t="shared" ref="M140:M142" si="66">L140*F140</f>
        <v>67.914000000000016</v>
      </c>
      <c r="N140" s="82"/>
      <c r="O140" s="3"/>
      <c r="P140" s="3"/>
      <c r="S140" s="35"/>
    </row>
    <row r="141" spans="1:19" s="4" customFormat="1" ht="15.75" customHeight="1">
      <c r="A141" s="78" t="s">
        <v>38</v>
      </c>
      <c r="B141" s="78" t="s">
        <v>39</v>
      </c>
      <c r="C141" s="100" t="s">
        <v>131</v>
      </c>
      <c r="D141" s="104">
        <f>11*2</f>
        <v>22</v>
      </c>
      <c r="E141" s="26">
        <v>0.05</v>
      </c>
      <c r="F141" s="79">
        <f t="shared" si="63"/>
        <v>23.1</v>
      </c>
      <c r="G141" s="90" t="s">
        <v>47</v>
      </c>
      <c r="H141" s="80">
        <v>7.0000000000000007E-2</v>
      </c>
      <c r="I141" s="80">
        <f t="shared" ref="I141:I142" si="67">H141*F141</f>
        <v>1.6170000000000002</v>
      </c>
      <c r="J141" s="80">
        <v>0.1</v>
      </c>
      <c r="K141" s="80">
        <f t="shared" si="64"/>
        <v>2.31</v>
      </c>
      <c r="L141" s="27">
        <f t="shared" si="65"/>
        <v>0.17</v>
      </c>
      <c r="M141" s="81">
        <f t="shared" si="66"/>
        <v>3.9270000000000005</v>
      </c>
      <c r="N141" s="82"/>
      <c r="O141" s="3"/>
      <c r="P141" s="3"/>
      <c r="S141" s="35"/>
    </row>
    <row r="142" spans="1:19" s="4" customFormat="1">
      <c r="A142" s="78" t="s">
        <v>38</v>
      </c>
      <c r="B142" s="78" t="s">
        <v>39</v>
      </c>
      <c r="C142" s="103" t="s">
        <v>135</v>
      </c>
      <c r="D142" s="104">
        <f>11*10.5</f>
        <v>115.5</v>
      </c>
      <c r="E142" s="26">
        <v>0.05</v>
      </c>
      <c r="F142" s="79">
        <f t="shared" si="63"/>
        <v>121.27500000000001</v>
      </c>
      <c r="G142" s="90" t="s">
        <v>49</v>
      </c>
      <c r="H142" s="80">
        <v>0.41</v>
      </c>
      <c r="I142" s="80">
        <f t="shared" si="67"/>
        <v>49.722749999999998</v>
      </c>
      <c r="J142" s="80">
        <v>0.8</v>
      </c>
      <c r="K142" s="80">
        <f t="shared" si="64"/>
        <v>97.02000000000001</v>
      </c>
      <c r="L142" s="27">
        <f t="shared" si="65"/>
        <v>1.21</v>
      </c>
      <c r="M142" s="81">
        <f t="shared" si="66"/>
        <v>146.74275</v>
      </c>
      <c r="N142" s="82"/>
      <c r="O142" s="3"/>
      <c r="P142" s="3"/>
      <c r="S142" s="35"/>
    </row>
    <row r="143" spans="1:19" s="4" customFormat="1" ht="15.75" customHeight="1">
      <c r="A143" s="78"/>
      <c r="B143" s="78"/>
      <c r="C143" s="100"/>
      <c r="D143" s="104"/>
      <c r="E143" s="26"/>
      <c r="F143" s="79"/>
      <c r="G143" s="90"/>
      <c r="H143" s="80"/>
      <c r="I143" s="80"/>
      <c r="J143" s="80"/>
      <c r="K143" s="80"/>
      <c r="L143" s="27"/>
      <c r="M143" s="81"/>
      <c r="N143" s="82"/>
      <c r="O143" s="3"/>
      <c r="P143" s="3"/>
      <c r="S143" s="35"/>
    </row>
    <row r="144" spans="1:19" s="4" customFormat="1" ht="15.75" customHeight="1">
      <c r="A144" s="78"/>
      <c r="B144" s="78"/>
      <c r="C144" s="106" t="s">
        <v>136</v>
      </c>
      <c r="D144" s="104">
        <v>14.02</v>
      </c>
      <c r="E144" s="26"/>
      <c r="F144" s="79"/>
      <c r="G144" s="90"/>
      <c r="H144" s="80"/>
      <c r="I144" s="80"/>
      <c r="J144" s="80"/>
      <c r="K144" s="80"/>
      <c r="L144" s="27"/>
      <c r="M144" s="81"/>
      <c r="N144" s="82"/>
      <c r="O144" s="3"/>
      <c r="P144" s="3"/>
      <c r="S144" s="35"/>
    </row>
    <row r="145" spans="1:19" s="4" customFormat="1" ht="15.75" customHeight="1">
      <c r="A145" s="78" t="s">
        <v>38</v>
      </c>
      <c r="B145" s="78" t="s">
        <v>39</v>
      </c>
      <c r="C145" s="100" t="s">
        <v>137</v>
      </c>
      <c r="D145" s="104">
        <f>D144*11.5</f>
        <v>161.22999999999999</v>
      </c>
      <c r="E145" s="26">
        <v>0.05</v>
      </c>
      <c r="F145" s="79">
        <f t="shared" ref="F145:F147" si="68">D145*(1+E145)</f>
        <v>169.29149999999998</v>
      </c>
      <c r="G145" s="90" t="s">
        <v>49</v>
      </c>
      <c r="H145" s="80">
        <v>1.5</v>
      </c>
      <c r="I145" s="80">
        <f t="shared" ref="I145:I149" si="69">H145*F145</f>
        <v>253.93724999999998</v>
      </c>
      <c r="J145" s="80">
        <v>1.1499999999999999</v>
      </c>
      <c r="K145" s="80">
        <f t="shared" ref="K145:K147" si="70">J145*F145</f>
        <v>194.68522499999997</v>
      </c>
      <c r="L145" s="27">
        <f t="shared" ref="L145:L147" si="71">(H145+J145)</f>
        <v>2.65</v>
      </c>
      <c r="M145" s="81">
        <f t="shared" ref="M145:M147" si="72">L145*F145</f>
        <v>448.62247499999995</v>
      </c>
      <c r="N145" s="82"/>
      <c r="O145" s="3"/>
      <c r="P145" s="3"/>
      <c r="S145" s="35"/>
    </row>
    <row r="146" spans="1:19" s="4" customFormat="1" ht="15.75" customHeight="1">
      <c r="A146" s="78" t="s">
        <v>38</v>
      </c>
      <c r="B146" s="78" t="s">
        <v>39</v>
      </c>
      <c r="C146" s="100" t="s">
        <v>129</v>
      </c>
      <c r="D146" s="104">
        <f>D144*2</f>
        <v>28.04</v>
      </c>
      <c r="E146" s="26">
        <v>0.05</v>
      </c>
      <c r="F146" s="79">
        <f t="shared" si="68"/>
        <v>29.442</v>
      </c>
      <c r="G146" s="90" t="s">
        <v>47</v>
      </c>
      <c r="H146" s="80">
        <v>1.1000000000000001</v>
      </c>
      <c r="I146" s="80">
        <f t="shared" si="69"/>
        <v>32.386200000000002</v>
      </c>
      <c r="J146" s="80">
        <v>0.95</v>
      </c>
      <c r="K146" s="80">
        <f t="shared" si="70"/>
        <v>27.969899999999999</v>
      </c>
      <c r="L146" s="27">
        <f t="shared" si="71"/>
        <v>2.0499999999999998</v>
      </c>
      <c r="M146" s="81">
        <f t="shared" si="72"/>
        <v>60.356099999999998</v>
      </c>
      <c r="N146" s="82"/>
      <c r="O146" s="3"/>
      <c r="P146" s="3"/>
      <c r="S146" s="35"/>
    </row>
    <row r="147" spans="1:19" s="4" customFormat="1">
      <c r="A147" s="78" t="s">
        <v>38</v>
      </c>
      <c r="B147" s="78" t="s">
        <v>39</v>
      </c>
      <c r="C147" s="103" t="s">
        <v>135</v>
      </c>
      <c r="D147" s="104">
        <f>14*8</f>
        <v>112</v>
      </c>
      <c r="E147" s="26">
        <v>0.05</v>
      </c>
      <c r="F147" s="79">
        <f t="shared" si="68"/>
        <v>117.60000000000001</v>
      </c>
      <c r="G147" s="90" t="s">
        <v>49</v>
      </c>
      <c r="H147" s="80">
        <v>0.41</v>
      </c>
      <c r="I147" s="80">
        <f t="shared" si="69"/>
        <v>48.216000000000001</v>
      </c>
      <c r="J147" s="80">
        <v>0.8</v>
      </c>
      <c r="K147" s="80">
        <f t="shared" si="70"/>
        <v>94.080000000000013</v>
      </c>
      <c r="L147" s="27">
        <f t="shared" si="71"/>
        <v>1.21</v>
      </c>
      <c r="M147" s="81">
        <f t="shared" si="72"/>
        <v>142.29599999999999</v>
      </c>
      <c r="N147" s="82"/>
      <c r="O147" s="3"/>
      <c r="P147" s="3"/>
      <c r="S147" s="35"/>
    </row>
    <row r="148" spans="1:19" s="4" customFormat="1" ht="15.75" customHeight="1">
      <c r="A148" s="78" t="s">
        <v>38</v>
      </c>
      <c r="B148" s="78" t="s">
        <v>39</v>
      </c>
      <c r="C148" s="100" t="s">
        <v>138</v>
      </c>
      <c r="D148" s="104">
        <f>14*30/32</f>
        <v>13.125</v>
      </c>
      <c r="E148" s="26">
        <v>0.05</v>
      </c>
      <c r="F148" s="79">
        <f t="shared" ref="F148:F150" si="73">D148*(1+E148)</f>
        <v>13.78125</v>
      </c>
      <c r="G148" s="90" t="s">
        <v>41</v>
      </c>
      <c r="H148" s="80">
        <f t="shared" ref="H148:H149" si="74">0.22*32</f>
        <v>7.04</v>
      </c>
      <c r="I148" s="80">
        <f t="shared" si="69"/>
        <v>97.02</v>
      </c>
      <c r="J148" s="80">
        <f t="shared" ref="J148:J149" si="75">0.34*32</f>
        <v>10.88</v>
      </c>
      <c r="K148" s="80">
        <f t="shared" ref="K148:K150" si="76">J148*F148</f>
        <v>149.94</v>
      </c>
      <c r="L148" s="27">
        <f t="shared" ref="L148:L150" si="77">(H148+J148)</f>
        <v>17.920000000000002</v>
      </c>
      <c r="M148" s="81">
        <f t="shared" ref="M148:M150" si="78">L148*F148</f>
        <v>246.96000000000004</v>
      </c>
      <c r="N148" s="82"/>
      <c r="O148" s="3"/>
      <c r="P148" s="3"/>
      <c r="S148" s="35"/>
    </row>
    <row r="149" spans="1:19" s="4" customFormat="1" ht="15.75" customHeight="1">
      <c r="A149" s="78" t="s">
        <v>38</v>
      </c>
      <c r="B149" s="78" t="s">
        <v>39</v>
      </c>
      <c r="C149" s="100" t="s">
        <v>139</v>
      </c>
      <c r="D149" s="104">
        <f>14*4/32</f>
        <v>1.75</v>
      </c>
      <c r="E149" s="26">
        <v>0.05</v>
      </c>
      <c r="F149" s="79">
        <f t="shared" ref="F149" si="79">D149*(1+E149)</f>
        <v>1.8375000000000001</v>
      </c>
      <c r="G149" s="90" t="s">
        <v>41</v>
      </c>
      <c r="H149" s="80">
        <f t="shared" si="74"/>
        <v>7.04</v>
      </c>
      <c r="I149" s="80">
        <f t="shared" si="69"/>
        <v>12.936000000000002</v>
      </c>
      <c r="J149" s="80">
        <f t="shared" si="75"/>
        <v>10.88</v>
      </c>
      <c r="K149" s="80">
        <f t="shared" ref="K149" si="80">J149*F149</f>
        <v>19.992000000000004</v>
      </c>
      <c r="L149" s="27">
        <f t="shared" ref="L149" si="81">(H149+J149)</f>
        <v>17.920000000000002</v>
      </c>
      <c r="M149" s="81">
        <f t="shared" ref="M149" si="82">L149*F149</f>
        <v>32.928000000000004</v>
      </c>
      <c r="N149" s="82"/>
      <c r="O149" s="3"/>
      <c r="P149" s="3"/>
      <c r="S149" s="35"/>
    </row>
    <row r="150" spans="1:19" s="4" customFormat="1" ht="15.75" customHeight="1">
      <c r="A150" s="78" t="s">
        <v>38</v>
      </c>
      <c r="B150" s="78" t="s">
        <v>39</v>
      </c>
      <c r="C150" s="100" t="s">
        <v>131</v>
      </c>
      <c r="D150" s="104">
        <f>14*2</f>
        <v>28</v>
      </c>
      <c r="E150" s="26">
        <v>0.05</v>
      </c>
      <c r="F150" s="79">
        <f t="shared" si="73"/>
        <v>29.400000000000002</v>
      </c>
      <c r="G150" s="90" t="s">
        <v>47</v>
      </c>
      <c r="H150" s="80">
        <v>7.0000000000000007E-2</v>
      </c>
      <c r="I150" s="80">
        <f t="shared" ref="I150" si="83">H150*F150</f>
        <v>2.0580000000000003</v>
      </c>
      <c r="J150" s="80">
        <v>0.1</v>
      </c>
      <c r="K150" s="80">
        <f t="shared" si="76"/>
        <v>2.9400000000000004</v>
      </c>
      <c r="L150" s="27">
        <f t="shared" si="77"/>
        <v>0.17</v>
      </c>
      <c r="M150" s="81">
        <f t="shared" si="78"/>
        <v>4.9980000000000011</v>
      </c>
      <c r="N150" s="82"/>
      <c r="O150" s="3"/>
      <c r="P150" s="3"/>
      <c r="S150" s="35"/>
    </row>
    <row r="151" spans="1:19" s="4" customFormat="1" ht="15.75" customHeight="1">
      <c r="A151" s="78"/>
      <c r="B151" s="78"/>
      <c r="C151" s="100"/>
      <c r="D151" s="104"/>
      <c r="E151" s="26"/>
      <c r="F151" s="79"/>
      <c r="G151" s="90"/>
      <c r="H151" s="80"/>
      <c r="I151" s="80"/>
      <c r="J151" s="80"/>
      <c r="K151" s="80"/>
      <c r="L151" s="27"/>
      <c r="M151" s="81"/>
      <c r="N151" s="82"/>
      <c r="O151" s="3"/>
      <c r="P151" s="3"/>
      <c r="S151" s="35"/>
    </row>
    <row r="152" spans="1:19" s="4" customFormat="1" ht="15.75" customHeight="1">
      <c r="A152" s="78"/>
      <c r="B152" s="78"/>
      <c r="C152" s="106" t="s">
        <v>140</v>
      </c>
      <c r="D152" s="104">
        <v>25.33</v>
      </c>
      <c r="E152" s="26"/>
      <c r="F152" s="79"/>
      <c r="G152" s="90"/>
      <c r="H152" s="80"/>
      <c r="I152" s="80"/>
      <c r="J152" s="80"/>
      <c r="K152" s="80"/>
      <c r="L152" s="27"/>
      <c r="M152" s="81"/>
      <c r="N152" s="82"/>
      <c r="O152" s="3"/>
      <c r="P152" s="3"/>
      <c r="S152" s="35"/>
    </row>
    <row r="153" spans="1:19" s="4" customFormat="1" ht="15.75" customHeight="1">
      <c r="A153" s="78" t="s">
        <v>38</v>
      </c>
      <c r="B153" s="78" t="s">
        <v>39</v>
      </c>
      <c r="C153" s="100" t="s">
        <v>137</v>
      </c>
      <c r="D153" s="104">
        <f>D152*11.5</f>
        <v>291.29499999999996</v>
      </c>
      <c r="E153" s="26">
        <v>0.05</v>
      </c>
      <c r="F153" s="79">
        <f t="shared" ref="F153:F158" si="84">D153*(1+E153)</f>
        <v>305.85974999999996</v>
      </c>
      <c r="G153" s="90" t="s">
        <v>49</v>
      </c>
      <c r="H153" s="80">
        <v>1.5</v>
      </c>
      <c r="I153" s="80">
        <f t="shared" ref="I153:I158" si="85">H153*F153</f>
        <v>458.78962499999994</v>
      </c>
      <c r="J153" s="80">
        <v>1.1499999999999999</v>
      </c>
      <c r="K153" s="80">
        <f t="shared" ref="K153:K158" si="86">J153*F153</f>
        <v>351.73871249999991</v>
      </c>
      <c r="L153" s="27">
        <f t="shared" ref="L153:L158" si="87">(H153+J153)</f>
        <v>2.65</v>
      </c>
      <c r="M153" s="81">
        <f t="shared" ref="M153:M158" si="88">L153*F153</f>
        <v>810.52833749999991</v>
      </c>
      <c r="N153" s="82"/>
      <c r="O153" s="3"/>
      <c r="P153" s="3"/>
      <c r="S153" s="35"/>
    </row>
    <row r="154" spans="1:19" s="4" customFormat="1" ht="15.75" customHeight="1">
      <c r="A154" s="78" t="s">
        <v>38</v>
      </c>
      <c r="B154" s="78" t="s">
        <v>39</v>
      </c>
      <c r="C154" s="100" t="s">
        <v>129</v>
      </c>
      <c r="D154" s="104">
        <f>D152*2</f>
        <v>50.66</v>
      </c>
      <c r="E154" s="26">
        <v>0.05</v>
      </c>
      <c r="F154" s="79">
        <f t="shared" si="84"/>
        <v>53.192999999999998</v>
      </c>
      <c r="G154" s="90" t="s">
        <v>47</v>
      </c>
      <c r="H154" s="80">
        <v>1.1000000000000001</v>
      </c>
      <c r="I154" s="80">
        <f t="shared" si="85"/>
        <v>58.512300000000003</v>
      </c>
      <c r="J154" s="80">
        <v>0.95</v>
      </c>
      <c r="K154" s="80">
        <f t="shared" si="86"/>
        <v>50.533349999999999</v>
      </c>
      <c r="L154" s="27">
        <f t="shared" si="87"/>
        <v>2.0499999999999998</v>
      </c>
      <c r="M154" s="81">
        <f t="shared" si="88"/>
        <v>109.04564999999998</v>
      </c>
      <c r="N154" s="82"/>
      <c r="O154" s="3"/>
      <c r="P154" s="3"/>
      <c r="S154" s="35"/>
    </row>
    <row r="155" spans="1:19" s="4" customFormat="1" ht="15.75" customHeight="1">
      <c r="A155" s="78" t="s">
        <v>38</v>
      </c>
      <c r="B155" s="78" t="s">
        <v>39</v>
      </c>
      <c r="C155" s="100" t="s">
        <v>138</v>
      </c>
      <c r="D155" s="104">
        <f>25*30/32</f>
        <v>23.4375</v>
      </c>
      <c r="E155" s="26">
        <v>0.05</v>
      </c>
      <c r="F155" s="79">
        <f t="shared" si="84"/>
        <v>24.609375</v>
      </c>
      <c r="G155" s="90" t="s">
        <v>41</v>
      </c>
      <c r="H155" s="80">
        <f t="shared" ref="H155:H156" si="89">0.22*32</f>
        <v>7.04</v>
      </c>
      <c r="I155" s="80">
        <f t="shared" si="85"/>
        <v>173.25</v>
      </c>
      <c r="J155" s="80">
        <f t="shared" ref="J155:J156" si="90">0.34*32</f>
        <v>10.88</v>
      </c>
      <c r="K155" s="80">
        <f t="shared" si="86"/>
        <v>267.75</v>
      </c>
      <c r="L155" s="27">
        <f t="shared" si="87"/>
        <v>17.920000000000002</v>
      </c>
      <c r="M155" s="81">
        <f t="shared" si="88"/>
        <v>441.00000000000006</v>
      </c>
      <c r="N155" s="82"/>
      <c r="O155" s="3"/>
      <c r="P155" s="3"/>
      <c r="S155" s="35"/>
    </row>
    <row r="156" spans="1:19" s="4" customFormat="1" ht="15.75" customHeight="1">
      <c r="A156" s="78" t="s">
        <v>38</v>
      </c>
      <c r="B156" s="78" t="s">
        <v>39</v>
      </c>
      <c r="C156" s="100" t="s">
        <v>134</v>
      </c>
      <c r="D156" s="104">
        <f>25*10.5/32</f>
        <v>8.203125</v>
      </c>
      <c r="E156" s="26">
        <v>0.05</v>
      </c>
      <c r="F156" s="79">
        <f t="shared" si="84"/>
        <v>8.61328125</v>
      </c>
      <c r="G156" s="90" t="s">
        <v>41</v>
      </c>
      <c r="H156" s="80">
        <f t="shared" si="89"/>
        <v>7.04</v>
      </c>
      <c r="I156" s="80">
        <f t="shared" si="85"/>
        <v>60.637500000000003</v>
      </c>
      <c r="J156" s="80">
        <f t="shared" si="90"/>
        <v>10.88</v>
      </c>
      <c r="K156" s="80">
        <f t="shared" si="86"/>
        <v>93.712500000000006</v>
      </c>
      <c r="L156" s="27">
        <f t="shared" si="87"/>
        <v>17.920000000000002</v>
      </c>
      <c r="M156" s="81">
        <f t="shared" si="88"/>
        <v>154.35000000000002</v>
      </c>
      <c r="N156" s="82"/>
      <c r="O156" s="3"/>
      <c r="P156" s="3"/>
      <c r="S156" s="35"/>
    </row>
    <row r="157" spans="1:19" s="4" customFormat="1" ht="15.75" customHeight="1">
      <c r="A157" s="78" t="s">
        <v>38</v>
      </c>
      <c r="B157" s="78" t="s">
        <v>39</v>
      </c>
      <c r="C157" s="100" t="s">
        <v>131</v>
      </c>
      <c r="D157" s="104">
        <f>25*2+25*2</f>
        <v>100</v>
      </c>
      <c r="E157" s="26">
        <v>0.05</v>
      </c>
      <c r="F157" s="79">
        <f t="shared" si="84"/>
        <v>105</v>
      </c>
      <c r="G157" s="90" t="s">
        <v>47</v>
      </c>
      <c r="H157" s="80">
        <v>7.0000000000000007E-2</v>
      </c>
      <c r="I157" s="80">
        <f t="shared" si="85"/>
        <v>7.3500000000000005</v>
      </c>
      <c r="J157" s="80">
        <v>0.1</v>
      </c>
      <c r="K157" s="80">
        <f t="shared" si="86"/>
        <v>10.5</v>
      </c>
      <c r="L157" s="27">
        <f t="shared" si="87"/>
        <v>0.17</v>
      </c>
      <c r="M157" s="81">
        <f t="shared" si="88"/>
        <v>17.850000000000001</v>
      </c>
      <c r="N157" s="82"/>
      <c r="O157" s="3"/>
      <c r="P157" s="3"/>
      <c r="S157" s="35"/>
    </row>
    <row r="158" spans="1:19" s="4" customFormat="1">
      <c r="A158" s="78" t="s">
        <v>38</v>
      </c>
      <c r="B158" s="78" t="s">
        <v>39</v>
      </c>
      <c r="C158" s="103" t="s">
        <v>135</v>
      </c>
      <c r="D158" s="104">
        <f>25*10.5</f>
        <v>262.5</v>
      </c>
      <c r="E158" s="26">
        <v>0.05</v>
      </c>
      <c r="F158" s="79">
        <f t="shared" si="84"/>
        <v>275.625</v>
      </c>
      <c r="G158" s="90" t="s">
        <v>49</v>
      </c>
      <c r="H158" s="80">
        <v>0.41</v>
      </c>
      <c r="I158" s="80">
        <f t="shared" si="85"/>
        <v>113.00624999999999</v>
      </c>
      <c r="J158" s="80">
        <v>0.8</v>
      </c>
      <c r="K158" s="80">
        <f t="shared" si="86"/>
        <v>220.5</v>
      </c>
      <c r="L158" s="27">
        <f t="shared" si="87"/>
        <v>1.21</v>
      </c>
      <c r="M158" s="81">
        <f t="shared" si="88"/>
        <v>333.50624999999997</v>
      </c>
      <c r="N158" s="82"/>
      <c r="O158" s="3"/>
      <c r="P158" s="3"/>
      <c r="S158" s="35"/>
    </row>
    <row r="159" spans="1:19" s="4" customFormat="1" ht="15.75" customHeight="1">
      <c r="A159" s="78"/>
      <c r="B159" s="78"/>
      <c r="C159" s="100"/>
      <c r="D159" s="104"/>
      <c r="E159" s="26"/>
      <c r="F159" s="79"/>
      <c r="G159" s="90"/>
      <c r="H159" s="80"/>
      <c r="I159" s="80"/>
      <c r="J159" s="80"/>
      <c r="K159" s="80"/>
      <c r="L159" s="27"/>
      <c r="M159" s="81"/>
      <c r="N159" s="82"/>
      <c r="O159" s="3"/>
      <c r="P159" s="3"/>
      <c r="S159" s="35"/>
    </row>
    <row r="160" spans="1:19" s="4" customFormat="1" ht="15.75" customHeight="1">
      <c r="A160" s="78"/>
      <c r="B160" s="78"/>
      <c r="C160" s="106" t="s">
        <v>141</v>
      </c>
      <c r="D160" s="104">
        <v>28.27</v>
      </c>
      <c r="E160" s="26"/>
      <c r="F160" s="79"/>
      <c r="G160" s="90"/>
      <c r="H160" s="80"/>
      <c r="I160" s="80"/>
      <c r="J160" s="80"/>
      <c r="K160" s="80"/>
      <c r="L160" s="27"/>
      <c r="M160" s="81"/>
      <c r="N160" s="82"/>
      <c r="O160" s="3"/>
      <c r="P160" s="3"/>
      <c r="S160" s="35"/>
    </row>
    <row r="161" spans="1:19" s="4" customFormat="1" ht="15.75" customHeight="1">
      <c r="A161" s="78" t="s">
        <v>38</v>
      </c>
      <c r="B161" s="78" t="s">
        <v>39</v>
      </c>
      <c r="C161" s="100" t="s">
        <v>128</v>
      </c>
      <c r="D161" s="104">
        <f>D160*10</f>
        <v>282.7</v>
      </c>
      <c r="E161" s="26">
        <v>0.05</v>
      </c>
      <c r="F161" s="79">
        <f t="shared" ref="F161:F164" si="91">D161*(1+E161)</f>
        <v>296.83499999999998</v>
      </c>
      <c r="G161" s="90" t="s">
        <v>49</v>
      </c>
      <c r="H161" s="80">
        <v>1.5</v>
      </c>
      <c r="I161" s="80">
        <f t="shared" ref="I161:I164" si="92">H161*F161</f>
        <v>445.25249999999994</v>
      </c>
      <c r="J161" s="80">
        <v>1.1499999999999999</v>
      </c>
      <c r="K161" s="80">
        <f t="shared" ref="K161:K164" si="93">J161*F161</f>
        <v>341.36024999999995</v>
      </c>
      <c r="L161" s="27">
        <f t="shared" ref="L161:L164" si="94">(H161+J161)</f>
        <v>2.65</v>
      </c>
      <c r="M161" s="81">
        <f t="shared" ref="M161:M164" si="95">L161*F161</f>
        <v>786.61274999999989</v>
      </c>
      <c r="N161" s="82"/>
      <c r="O161" s="3"/>
      <c r="P161" s="3"/>
      <c r="S161" s="35"/>
    </row>
    <row r="162" spans="1:19" s="4" customFormat="1" ht="15.75" customHeight="1">
      <c r="A162" s="78" t="s">
        <v>38</v>
      </c>
      <c r="B162" s="78" t="s">
        <v>39</v>
      </c>
      <c r="C162" s="100" t="s">
        <v>129</v>
      </c>
      <c r="D162" s="104">
        <f>D160*2</f>
        <v>56.54</v>
      </c>
      <c r="E162" s="26">
        <v>0.05</v>
      </c>
      <c r="F162" s="79">
        <f t="shared" si="91"/>
        <v>59.367000000000004</v>
      </c>
      <c r="G162" s="90" t="s">
        <v>47</v>
      </c>
      <c r="H162" s="80">
        <v>1.1000000000000001</v>
      </c>
      <c r="I162" s="80">
        <f t="shared" si="92"/>
        <v>65.303700000000006</v>
      </c>
      <c r="J162" s="80">
        <v>0.95</v>
      </c>
      <c r="K162" s="80">
        <f t="shared" si="93"/>
        <v>56.398650000000004</v>
      </c>
      <c r="L162" s="27">
        <f t="shared" si="94"/>
        <v>2.0499999999999998</v>
      </c>
      <c r="M162" s="81">
        <f t="shared" si="95"/>
        <v>121.70235</v>
      </c>
      <c r="N162" s="82"/>
      <c r="O162" s="3"/>
      <c r="P162" s="3"/>
      <c r="S162" s="35"/>
    </row>
    <row r="163" spans="1:19" s="4" customFormat="1" ht="15.75" customHeight="1">
      <c r="A163" s="78" t="s">
        <v>38</v>
      </c>
      <c r="B163" s="78" t="s">
        <v>39</v>
      </c>
      <c r="C163" s="100" t="s">
        <v>130</v>
      </c>
      <c r="D163" s="104">
        <f>28*10.5/32</f>
        <v>9.1875</v>
      </c>
      <c r="E163" s="26">
        <v>0.05</v>
      </c>
      <c r="F163" s="79">
        <f t="shared" si="91"/>
        <v>9.6468749999999996</v>
      </c>
      <c r="G163" s="90" t="s">
        <v>41</v>
      </c>
      <c r="H163" s="80">
        <f>0.22*32</f>
        <v>7.04</v>
      </c>
      <c r="I163" s="80">
        <f t="shared" si="92"/>
        <v>67.914000000000001</v>
      </c>
      <c r="J163" s="80">
        <f>0.34*32</f>
        <v>10.88</v>
      </c>
      <c r="K163" s="80">
        <f t="shared" si="93"/>
        <v>104.958</v>
      </c>
      <c r="L163" s="27">
        <f t="shared" si="94"/>
        <v>17.920000000000002</v>
      </c>
      <c r="M163" s="81">
        <f t="shared" si="95"/>
        <v>172.87200000000001</v>
      </c>
      <c r="N163" s="82"/>
      <c r="O163" s="3"/>
      <c r="P163" s="3"/>
      <c r="S163" s="35"/>
    </row>
    <row r="164" spans="1:19" s="4" customFormat="1" ht="15.75" customHeight="1">
      <c r="A164" s="78" t="s">
        <v>38</v>
      </c>
      <c r="B164" s="78" t="s">
        <v>39</v>
      </c>
      <c r="C164" s="100" t="s">
        <v>131</v>
      </c>
      <c r="D164" s="104">
        <f>28*2</f>
        <v>56</v>
      </c>
      <c r="E164" s="26">
        <v>0.05</v>
      </c>
      <c r="F164" s="79">
        <f t="shared" si="91"/>
        <v>58.800000000000004</v>
      </c>
      <c r="G164" s="90" t="s">
        <v>47</v>
      </c>
      <c r="H164" s="80">
        <v>7.0000000000000007E-2</v>
      </c>
      <c r="I164" s="80">
        <f t="shared" si="92"/>
        <v>4.1160000000000005</v>
      </c>
      <c r="J164" s="80">
        <v>0.1</v>
      </c>
      <c r="K164" s="80">
        <f t="shared" si="93"/>
        <v>5.8800000000000008</v>
      </c>
      <c r="L164" s="27">
        <f t="shared" si="94"/>
        <v>0.17</v>
      </c>
      <c r="M164" s="81">
        <f t="shared" si="95"/>
        <v>9.9960000000000022</v>
      </c>
      <c r="N164" s="82"/>
      <c r="O164" s="3"/>
      <c r="P164" s="3"/>
      <c r="S164" s="35"/>
    </row>
    <row r="165" spans="1:19" s="4" customFormat="1" ht="15.75" customHeight="1">
      <c r="A165" s="78"/>
      <c r="B165" s="78"/>
      <c r="C165" s="100"/>
      <c r="D165" s="104"/>
      <c r="E165" s="26"/>
      <c r="F165" s="79"/>
      <c r="G165" s="90"/>
      <c r="H165" s="80"/>
      <c r="I165" s="80"/>
      <c r="J165" s="80"/>
      <c r="K165" s="80"/>
      <c r="L165" s="27"/>
      <c r="M165" s="81"/>
      <c r="N165" s="82"/>
      <c r="O165" s="3"/>
      <c r="P165" s="3"/>
      <c r="S165" s="35"/>
    </row>
    <row r="166" spans="1:19" s="4" customFormat="1" ht="15.75" customHeight="1">
      <c r="A166" s="78"/>
      <c r="B166" s="78"/>
      <c r="C166" s="106" t="s">
        <v>142</v>
      </c>
      <c r="D166" s="104">
        <v>11.01</v>
      </c>
      <c r="E166" s="26"/>
      <c r="F166" s="79"/>
      <c r="G166" s="90"/>
      <c r="H166" s="80"/>
      <c r="I166" s="80"/>
      <c r="J166" s="80"/>
      <c r="K166" s="80"/>
      <c r="L166" s="27"/>
      <c r="M166" s="81"/>
      <c r="N166" s="82"/>
      <c r="O166" s="3"/>
      <c r="P166" s="3"/>
      <c r="S166" s="35"/>
    </row>
    <row r="167" spans="1:19" s="4" customFormat="1" ht="15.75" customHeight="1">
      <c r="A167" s="78" t="s">
        <v>38</v>
      </c>
      <c r="B167" s="78" t="s">
        <v>39</v>
      </c>
      <c r="C167" s="100" t="s">
        <v>143</v>
      </c>
      <c r="D167" s="104">
        <f>D166*11.5</f>
        <v>126.61499999999999</v>
      </c>
      <c r="E167" s="26">
        <v>0.05</v>
      </c>
      <c r="F167" s="79">
        <f t="shared" ref="F167:F172" si="96">D167*(1+E167)</f>
        <v>132.94575</v>
      </c>
      <c r="G167" s="90" t="s">
        <v>49</v>
      </c>
      <c r="H167" s="80">
        <v>1.5</v>
      </c>
      <c r="I167" s="80">
        <f t="shared" ref="I167:I172" si="97">H167*F167</f>
        <v>199.41862500000002</v>
      </c>
      <c r="J167" s="80">
        <v>1.1499999999999999</v>
      </c>
      <c r="K167" s="80">
        <f t="shared" ref="K167:K172" si="98">J167*F167</f>
        <v>152.88761249999999</v>
      </c>
      <c r="L167" s="27">
        <f t="shared" ref="L167:L172" si="99">(H167+J167)</f>
        <v>2.65</v>
      </c>
      <c r="M167" s="81">
        <f t="shared" ref="M167:M172" si="100">L167*F167</f>
        <v>352.30623750000001</v>
      </c>
      <c r="N167" s="82"/>
      <c r="O167" s="3"/>
      <c r="P167" s="3"/>
      <c r="S167" s="35"/>
    </row>
    <row r="168" spans="1:19" s="4" customFormat="1" ht="15.75" customHeight="1">
      <c r="A168" s="78" t="s">
        <v>38</v>
      </c>
      <c r="B168" s="78" t="s">
        <v>39</v>
      </c>
      <c r="C168" s="100" t="s">
        <v>144</v>
      </c>
      <c r="D168" s="104">
        <f>D166*2</f>
        <v>22.02</v>
      </c>
      <c r="E168" s="26">
        <v>0.05</v>
      </c>
      <c r="F168" s="79">
        <f t="shared" si="96"/>
        <v>23.121000000000002</v>
      </c>
      <c r="G168" s="90" t="s">
        <v>47</v>
      </c>
      <c r="H168" s="80">
        <v>1.1000000000000001</v>
      </c>
      <c r="I168" s="80">
        <f t="shared" si="97"/>
        <v>25.433100000000003</v>
      </c>
      <c r="J168" s="80">
        <v>0.95</v>
      </c>
      <c r="K168" s="80">
        <f t="shared" si="98"/>
        <v>21.964950000000002</v>
      </c>
      <c r="L168" s="27">
        <f t="shared" si="99"/>
        <v>2.0499999999999998</v>
      </c>
      <c r="M168" s="81">
        <f t="shared" si="100"/>
        <v>47.398049999999998</v>
      </c>
      <c r="N168" s="82"/>
      <c r="O168" s="3"/>
      <c r="P168" s="3"/>
      <c r="S168" s="35"/>
    </row>
    <row r="169" spans="1:19" s="4" customFormat="1" ht="15.75" customHeight="1">
      <c r="A169" s="78" t="s">
        <v>38</v>
      </c>
      <c r="B169" s="78" t="s">
        <v>39</v>
      </c>
      <c r="C169" s="100" t="s">
        <v>138</v>
      </c>
      <c r="D169" s="104">
        <f>11*11.5/32</f>
        <v>3.953125</v>
      </c>
      <c r="E169" s="26">
        <v>0.05</v>
      </c>
      <c r="F169" s="79">
        <f t="shared" si="96"/>
        <v>4.1507812500000005</v>
      </c>
      <c r="G169" s="90" t="s">
        <v>41</v>
      </c>
      <c r="H169" s="80">
        <f t="shared" ref="H169:H170" si="101">0.22*32</f>
        <v>7.04</v>
      </c>
      <c r="I169" s="80">
        <f t="shared" si="97"/>
        <v>29.221500000000002</v>
      </c>
      <c r="J169" s="80">
        <f t="shared" ref="J169:J170" si="102">0.34*32</f>
        <v>10.88</v>
      </c>
      <c r="K169" s="80">
        <f t="shared" si="98"/>
        <v>45.160500000000006</v>
      </c>
      <c r="L169" s="27">
        <f t="shared" si="99"/>
        <v>17.920000000000002</v>
      </c>
      <c r="M169" s="81">
        <f t="shared" si="100"/>
        <v>74.382000000000019</v>
      </c>
      <c r="N169" s="82"/>
      <c r="O169" s="3"/>
      <c r="P169" s="3"/>
      <c r="S169" s="35"/>
    </row>
    <row r="170" spans="1:19" s="4" customFormat="1" ht="15.75" customHeight="1">
      <c r="A170" s="78" t="s">
        <v>38</v>
      </c>
      <c r="B170" s="78" t="s">
        <v>39</v>
      </c>
      <c r="C170" s="100" t="s">
        <v>134</v>
      </c>
      <c r="D170" s="104">
        <f>11*10.5/32</f>
        <v>3.609375</v>
      </c>
      <c r="E170" s="26">
        <v>0.05</v>
      </c>
      <c r="F170" s="79">
        <f t="shared" si="96"/>
        <v>3.7898437500000002</v>
      </c>
      <c r="G170" s="90" t="s">
        <v>41</v>
      </c>
      <c r="H170" s="80">
        <f t="shared" si="101"/>
        <v>7.04</v>
      </c>
      <c r="I170" s="80">
        <f t="shared" si="97"/>
        <v>26.680500000000002</v>
      </c>
      <c r="J170" s="80">
        <f t="shared" si="102"/>
        <v>10.88</v>
      </c>
      <c r="K170" s="80">
        <f t="shared" si="98"/>
        <v>41.233500000000006</v>
      </c>
      <c r="L170" s="27">
        <f t="shared" si="99"/>
        <v>17.920000000000002</v>
      </c>
      <c r="M170" s="81">
        <f t="shared" si="100"/>
        <v>67.914000000000016</v>
      </c>
      <c r="N170" s="82"/>
      <c r="O170" s="3"/>
      <c r="P170" s="3"/>
      <c r="S170" s="35"/>
    </row>
    <row r="171" spans="1:19" s="4" customFormat="1" ht="15.75" customHeight="1">
      <c r="A171" s="78" t="s">
        <v>38</v>
      </c>
      <c r="B171" s="78" t="s">
        <v>39</v>
      </c>
      <c r="C171" s="100" t="s">
        <v>131</v>
      </c>
      <c r="D171" s="104">
        <f>11*2+11*2</f>
        <v>44</v>
      </c>
      <c r="E171" s="26">
        <v>0.05</v>
      </c>
      <c r="F171" s="79">
        <f t="shared" si="96"/>
        <v>46.2</v>
      </c>
      <c r="G171" s="90" t="s">
        <v>47</v>
      </c>
      <c r="H171" s="80">
        <v>7.0000000000000007E-2</v>
      </c>
      <c r="I171" s="80">
        <f t="shared" si="97"/>
        <v>3.2340000000000004</v>
      </c>
      <c r="J171" s="80">
        <v>0.1</v>
      </c>
      <c r="K171" s="80">
        <f t="shared" si="98"/>
        <v>4.62</v>
      </c>
      <c r="L171" s="27">
        <f t="shared" si="99"/>
        <v>0.17</v>
      </c>
      <c r="M171" s="81">
        <f t="shared" si="100"/>
        <v>7.854000000000001</v>
      </c>
      <c r="N171" s="82"/>
      <c r="O171" s="3"/>
      <c r="P171" s="3"/>
      <c r="S171" s="35"/>
    </row>
    <row r="172" spans="1:19" s="4" customFormat="1">
      <c r="A172" s="78" t="s">
        <v>38</v>
      </c>
      <c r="B172" s="78" t="s">
        <v>39</v>
      </c>
      <c r="C172" s="103" t="s">
        <v>135</v>
      </c>
      <c r="D172" s="104">
        <f>11*10.5</f>
        <v>115.5</v>
      </c>
      <c r="E172" s="26">
        <v>0.05</v>
      </c>
      <c r="F172" s="79">
        <f t="shared" si="96"/>
        <v>121.27500000000001</v>
      </c>
      <c r="G172" s="90" t="s">
        <v>49</v>
      </c>
      <c r="H172" s="80">
        <v>0.41</v>
      </c>
      <c r="I172" s="80">
        <f t="shared" si="97"/>
        <v>49.722749999999998</v>
      </c>
      <c r="J172" s="80">
        <v>0.8</v>
      </c>
      <c r="K172" s="80">
        <f t="shared" si="98"/>
        <v>97.02000000000001</v>
      </c>
      <c r="L172" s="27">
        <f t="shared" si="99"/>
        <v>1.21</v>
      </c>
      <c r="M172" s="81">
        <f t="shared" si="100"/>
        <v>146.74275</v>
      </c>
      <c r="N172" s="82"/>
      <c r="O172" s="3"/>
      <c r="P172" s="3"/>
      <c r="S172" s="35"/>
    </row>
    <row r="173" spans="1:19" s="4" customFormat="1" ht="15.75" customHeight="1">
      <c r="A173" s="78"/>
      <c r="B173" s="78"/>
      <c r="C173" s="100"/>
      <c r="D173" s="104"/>
      <c r="E173" s="26"/>
      <c r="F173" s="79"/>
      <c r="G173" s="90"/>
      <c r="H173" s="80"/>
      <c r="I173" s="80"/>
      <c r="J173" s="80"/>
      <c r="K173" s="80"/>
      <c r="L173" s="27"/>
      <c r="M173" s="81"/>
      <c r="N173" s="82"/>
      <c r="O173" s="3"/>
      <c r="P173" s="3"/>
      <c r="S173" s="35"/>
    </row>
    <row r="174" spans="1:19" s="4" customFormat="1" ht="15.75" customHeight="1">
      <c r="A174" s="78"/>
      <c r="B174" s="78"/>
      <c r="C174" s="106" t="s">
        <v>145</v>
      </c>
      <c r="D174" s="104">
        <v>5.61</v>
      </c>
      <c r="E174" s="26"/>
      <c r="F174" s="79"/>
      <c r="G174" s="90"/>
      <c r="H174" s="80"/>
      <c r="I174" s="80"/>
      <c r="J174" s="80"/>
      <c r="K174" s="80"/>
      <c r="L174" s="27"/>
      <c r="M174" s="81"/>
      <c r="N174" s="82"/>
      <c r="O174" s="3"/>
      <c r="P174" s="3"/>
      <c r="S174" s="35"/>
    </row>
    <row r="175" spans="1:19" s="4" customFormat="1" ht="15.75" customHeight="1">
      <c r="A175" s="78" t="s">
        <v>38</v>
      </c>
      <c r="B175" s="78" t="s">
        <v>39</v>
      </c>
      <c r="C175" s="100" t="s">
        <v>137</v>
      </c>
      <c r="D175" s="104">
        <f>D174*11.5</f>
        <v>64.515000000000001</v>
      </c>
      <c r="E175" s="26">
        <v>0.05</v>
      </c>
      <c r="F175" s="79">
        <f t="shared" si="12"/>
        <v>67.740750000000006</v>
      </c>
      <c r="G175" s="90" t="s">
        <v>49</v>
      </c>
      <c r="H175" s="80">
        <v>1.5</v>
      </c>
      <c r="I175" s="80">
        <f t="shared" si="13"/>
        <v>101.61112500000002</v>
      </c>
      <c r="J175" s="80">
        <v>1.1499999999999999</v>
      </c>
      <c r="K175" s="80">
        <f t="shared" si="14"/>
        <v>77.901862500000007</v>
      </c>
      <c r="L175" s="27">
        <f t="shared" si="15"/>
        <v>2.65</v>
      </c>
      <c r="M175" s="81">
        <f t="shared" si="16"/>
        <v>179.51298750000001</v>
      </c>
      <c r="N175" s="82"/>
      <c r="O175" s="3"/>
      <c r="P175" s="3"/>
      <c r="S175" s="35"/>
    </row>
    <row r="176" spans="1:19" s="4" customFormat="1" ht="15.75" customHeight="1">
      <c r="A176" s="78" t="s">
        <v>38</v>
      </c>
      <c r="B176" s="78" t="s">
        <v>39</v>
      </c>
      <c r="C176" s="100" t="s">
        <v>129</v>
      </c>
      <c r="D176" s="104">
        <f>D174*2</f>
        <v>11.22</v>
      </c>
      <c r="E176" s="26">
        <v>0.05</v>
      </c>
      <c r="F176" s="79">
        <f t="shared" si="12"/>
        <v>11.781000000000001</v>
      </c>
      <c r="G176" s="90" t="s">
        <v>47</v>
      </c>
      <c r="H176" s="80">
        <v>1.1000000000000001</v>
      </c>
      <c r="I176" s="80">
        <f t="shared" si="13"/>
        <v>12.959100000000001</v>
      </c>
      <c r="J176" s="80">
        <v>0.95</v>
      </c>
      <c r="K176" s="80">
        <f t="shared" si="14"/>
        <v>11.19195</v>
      </c>
      <c r="L176" s="27">
        <f t="shared" si="15"/>
        <v>2.0499999999999998</v>
      </c>
      <c r="M176" s="81">
        <f t="shared" si="16"/>
        <v>24.151049999999998</v>
      </c>
      <c r="N176" s="82"/>
      <c r="O176" s="3"/>
      <c r="P176" s="3"/>
      <c r="S176" s="35"/>
    </row>
    <row r="177" spans="1:19" s="4" customFormat="1" ht="15.75" customHeight="1">
      <c r="A177" s="78" t="s">
        <v>38</v>
      </c>
      <c r="B177" s="78" t="s">
        <v>39</v>
      </c>
      <c r="C177" s="100" t="s">
        <v>138</v>
      </c>
      <c r="D177" s="104">
        <f>6*11.5*2/32-D178</f>
        <v>3.5625</v>
      </c>
      <c r="E177" s="26">
        <v>0.05</v>
      </c>
      <c r="F177" s="79">
        <f t="shared" si="12"/>
        <v>3.7406250000000001</v>
      </c>
      <c r="G177" s="90" t="s">
        <v>41</v>
      </c>
      <c r="H177" s="80">
        <f t="shared" ref="H177:H178" si="103">0.22*32</f>
        <v>7.04</v>
      </c>
      <c r="I177" s="80">
        <f t="shared" si="13"/>
        <v>26.334</v>
      </c>
      <c r="J177" s="80">
        <f t="shared" ref="J177:J178" si="104">0.34*32</f>
        <v>10.88</v>
      </c>
      <c r="K177" s="80">
        <f t="shared" si="14"/>
        <v>40.698</v>
      </c>
      <c r="L177" s="27">
        <f t="shared" si="15"/>
        <v>17.920000000000002</v>
      </c>
      <c r="M177" s="81">
        <f t="shared" si="16"/>
        <v>67.032000000000011</v>
      </c>
      <c r="N177" s="82"/>
      <c r="O177" s="3"/>
      <c r="P177" s="3"/>
      <c r="S177" s="35"/>
    </row>
    <row r="178" spans="1:19" s="4" customFormat="1" ht="15.75" customHeight="1">
      <c r="A178" s="78" t="s">
        <v>38</v>
      </c>
      <c r="B178" s="78" t="s">
        <v>39</v>
      </c>
      <c r="C178" s="100" t="s">
        <v>139</v>
      </c>
      <c r="D178" s="104">
        <f>6*4/32</f>
        <v>0.75</v>
      </c>
      <c r="E178" s="26">
        <v>0.05</v>
      </c>
      <c r="F178" s="79">
        <f t="shared" si="12"/>
        <v>0.78750000000000009</v>
      </c>
      <c r="G178" s="90" t="s">
        <v>41</v>
      </c>
      <c r="H178" s="80">
        <f t="shared" si="103"/>
        <v>7.04</v>
      </c>
      <c r="I178" s="80">
        <f t="shared" si="13"/>
        <v>5.5440000000000005</v>
      </c>
      <c r="J178" s="80">
        <f t="shared" si="104"/>
        <v>10.88</v>
      </c>
      <c r="K178" s="80">
        <f t="shared" si="14"/>
        <v>8.5680000000000014</v>
      </c>
      <c r="L178" s="27">
        <f t="shared" si="15"/>
        <v>17.920000000000002</v>
      </c>
      <c r="M178" s="81">
        <f t="shared" si="16"/>
        <v>14.112000000000004</v>
      </c>
      <c r="N178" s="82"/>
      <c r="O178" s="3"/>
      <c r="P178" s="3"/>
      <c r="S178" s="35"/>
    </row>
    <row r="179" spans="1:19" s="4" customFormat="1" ht="15.75" customHeight="1">
      <c r="A179" s="78" t="s">
        <v>38</v>
      </c>
      <c r="B179" s="78" t="s">
        <v>39</v>
      </c>
      <c r="C179" s="100" t="s">
        <v>131</v>
      </c>
      <c r="D179" s="104">
        <f>6*2*2</f>
        <v>24</v>
      </c>
      <c r="E179" s="26">
        <v>0.05</v>
      </c>
      <c r="F179" s="79">
        <f t="shared" si="12"/>
        <v>25.200000000000003</v>
      </c>
      <c r="G179" s="90" t="s">
        <v>47</v>
      </c>
      <c r="H179" s="80">
        <v>7.0000000000000007E-2</v>
      </c>
      <c r="I179" s="80">
        <f t="shared" si="13"/>
        <v>1.7640000000000005</v>
      </c>
      <c r="J179" s="80">
        <v>0.1</v>
      </c>
      <c r="K179" s="80">
        <f t="shared" si="14"/>
        <v>2.5200000000000005</v>
      </c>
      <c r="L179" s="27">
        <f t="shared" si="15"/>
        <v>0.17</v>
      </c>
      <c r="M179" s="81">
        <f t="shared" si="16"/>
        <v>4.2840000000000007</v>
      </c>
      <c r="N179" s="82"/>
      <c r="O179" s="3"/>
      <c r="P179" s="3"/>
      <c r="S179" s="35"/>
    </row>
    <row r="180" spans="1:19" s="4" customFormat="1" ht="15.75" customHeight="1">
      <c r="A180" s="78"/>
      <c r="B180" s="78"/>
      <c r="C180" s="100"/>
      <c r="D180" s="104"/>
      <c r="E180" s="26"/>
      <c r="F180" s="79"/>
      <c r="G180" s="90"/>
      <c r="H180" s="80"/>
      <c r="I180" s="80"/>
      <c r="J180" s="80"/>
      <c r="K180" s="80"/>
      <c r="L180" s="27"/>
      <c r="M180" s="81"/>
      <c r="N180" s="82"/>
      <c r="O180" s="3"/>
      <c r="P180" s="3"/>
      <c r="S180" s="35"/>
    </row>
    <row r="181" spans="1:19" s="4" customFormat="1" ht="15.75" customHeight="1">
      <c r="A181" s="78"/>
      <c r="B181" s="78"/>
      <c r="C181" s="106" t="s">
        <v>146</v>
      </c>
      <c r="D181" s="104">
        <v>10.79</v>
      </c>
      <c r="E181" s="26"/>
      <c r="F181" s="79"/>
      <c r="G181" s="90"/>
      <c r="H181" s="80"/>
      <c r="I181" s="80"/>
      <c r="J181" s="80"/>
      <c r="K181" s="80"/>
      <c r="L181" s="27"/>
      <c r="M181" s="81"/>
      <c r="N181" s="82"/>
      <c r="O181" s="3"/>
      <c r="P181" s="3"/>
      <c r="S181" s="35"/>
    </row>
    <row r="182" spans="1:19" s="4" customFormat="1" ht="15.75" customHeight="1">
      <c r="A182" s="78" t="s">
        <v>38</v>
      </c>
      <c r="B182" s="78" t="s">
        <v>39</v>
      </c>
      <c r="C182" s="100" t="s">
        <v>143</v>
      </c>
      <c r="D182" s="104">
        <f>D181*11.5</f>
        <v>124.08499999999999</v>
      </c>
      <c r="E182" s="26">
        <v>0.05</v>
      </c>
      <c r="F182" s="79">
        <f t="shared" si="12"/>
        <v>130.28925000000001</v>
      </c>
      <c r="G182" s="90" t="s">
        <v>49</v>
      </c>
      <c r="H182" s="80">
        <v>1.5</v>
      </c>
      <c r="I182" s="80">
        <f t="shared" si="13"/>
        <v>195.433875</v>
      </c>
      <c r="J182" s="80">
        <v>1.1499999999999999</v>
      </c>
      <c r="K182" s="80">
        <f t="shared" si="14"/>
        <v>149.8326375</v>
      </c>
      <c r="L182" s="27">
        <f t="shared" si="15"/>
        <v>2.65</v>
      </c>
      <c r="M182" s="81">
        <f t="shared" si="16"/>
        <v>345.26651250000003</v>
      </c>
      <c r="N182" s="82"/>
      <c r="O182" s="3"/>
      <c r="P182" s="3"/>
      <c r="S182" s="35"/>
    </row>
    <row r="183" spans="1:19" s="4" customFormat="1" ht="15.75" customHeight="1">
      <c r="A183" s="78" t="s">
        <v>38</v>
      </c>
      <c r="B183" s="78" t="s">
        <v>39</v>
      </c>
      <c r="C183" s="100" t="s">
        <v>144</v>
      </c>
      <c r="D183" s="104">
        <f>D181*2</f>
        <v>21.58</v>
      </c>
      <c r="E183" s="26">
        <v>0.05</v>
      </c>
      <c r="F183" s="79">
        <f t="shared" si="12"/>
        <v>22.658999999999999</v>
      </c>
      <c r="G183" s="90" t="s">
        <v>47</v>
      </c>
      <c r="H183" s="80">
        <v>1.1000000000000001</v>
      </c>
      <c r="I183" s="80">
        <f t="shared" si="13"/>
        <v>24.924900000000001</v>
      </c>
      <c r="J183" s="80">
        <v>0.95</v>
      </c>
      <c r="K183" s="80">
        <f t="shared" si="14"/>
        <v>21.526049999999998</v>
      </c>
      <c r="L183" s="27">
        <f t="shared" si="15"/>
        <v>2.0499999999999998</v>
      </c>
      <c r="M183" s="81">
        <f t="shared" si="16"/>
        <v>46.450949999999992</v>
      </c>
      <c r="N183" s="82"/>
      <c r="O183" s="3"/>
      <c r="P183" s="3"/>
      <c r="S183" s="35"/>
    </row>
    <row r="184" spans="1:19" s="4" customFormat="1" ht="15.75" customHeight="1">
      <c r="A184" s="78" t="s">
        <v>38</v>
      </c>
      <c r="B184" s="78" t="s">
        <v>39</v>
      </c>
      <c r="C184" s="100" t="s">
        <v>138</v>
      </c>
      <c r="D184" s="104">
        <f>11*11.5*2/32-D185</f>
        <v>6.53125</v>
      </c>
      <c r="E184" s="26">
        <v>0.05</v>
      </c>
      <c r="F184" s="79">
        <f t="shared" ref="F184:F186" si="105">D184*(1+E184)</f>
        <v>6.8578125000000005</v>
      </c>
      <c r="G184" s="90" t="s">
        <v>41</v>
      </c>
      <c r="H184" s="80">
        <f t="shared" ref="H184:H185" si="106">0.22*32</f>
        <v>7.04</v>
      </c>
      <c r="I184" s="80">
        <f t="shared" si="13"/>
        <v>48.279000000000003</v>
      </c>
      <c r="J184" s="80">
        <f t="shared" ref="J184:J185" si="107">0.34*32</f>
        <v>10.88</v>
      </c>
      <c r="K184" s="80">
        <f t="shared" ref="K184:K186" si="108">J184*F184</f>
        <v>74.613000000000014</v>
      </c>
      <c r="L184" s="27">
        <f t="shared" ref="L184:L186" si="109">(H184+J184)</f>
        <v>17.920000000000002</v>
      </c>
      <c r="M184" s="81">
        <f t="shared" ref="M184:M186" si="110">L184*F184</f>
        <v>122.89200000000002</v>
      </c>
      <c r="N184" s="82"/>
      <c r="O184" s="3"/>
      <c r="P184" s="3"/>
      <c r="S184" s="35"/>
    </row>
    <row r="185" spans="1:19" s="4" customFormat="1" ht="15.75" customHeight="1">
      <c r="A185" s="78" t="s">
        <v>38</v>
      </c>
      <c r="B185" s="78" t="s">
        <v>39</v>
      </c>
      <c r="C185" s="100" t="s">
        <v>139</v>
      </c>
      <c r="D185" s="104">
        <f>11*4/32</f>
        <v>1.375</v>
      </c>
      <c r="E185" s="26">
        <v>0.05</v>
      </c>
      <c r="F185" s="79">
        <f t="shared" si="105"/>
        <v>1.4437500000000001</v>
      </c>
      <c r="G185" s="90" t="s">
        <v>41</v>
      </c>
      <c r="H185" s="80">
        <f t="shared" si="106"/>
        <v>7.04</v>
      </c>
      <c r="I185" s="80">
        <f t="shared" si="13"/>
        <v>10.164000000000001</v>
      </c>
      <c r="J185" s="80">
        <f t="shared" si="107"/>
        <v>10.88</v>
      </c>
      <c r="K185" s="80">
        <f t="shared" si="108"/>
        <v>15.708000000000002</v>
      </c>
      <c r="L185" s="27">
        <f t="shared" si="109"/>
        <v>17.920000000000002</v>
      </c>
      <c r="M185" s="81">
        <f t="shared" si="110"/>
        <v>25.872000000000003</v>
      </c>
      <c r="N185" s="82"/>
      <c r="O185" s="3"/>
      <c r="P185" s="3"/>
      <c r="S185" s="35"/>
    </row>
    <row r="186" spans="1:19" s="4" customFormat="1" ht="15.75" customHeight="1">
      <c r="A186" s="78" t="s">
        <v>38</v>
      </c>
      <c r="B186" s="78" t="s">
        <v>39</v>
      </c>
      <c r="C186" s="100" t="s">
        <v>131</v>
      </c>
      <c r="D186" s="104">
        <f>11*2*2</f>
        <v>44</v>
      </c>
      <c r="E186" s="26">
        <v>0.05</v>
      </c>
      <c r="F186" s="79">
        <f t="shared" si="105"/>
        <v>46.2</v>
      </c>
      <c r="G186" s="90" t="s">
        <v>47</v>
      </c>
      <c r="H186" s="80">
        <v>7.0000000000000007E-2</v>
      </c>
      <c r="I186" s="80">
        <f t="shared" ref="I186" si="111">H186*F186</f>
        <v>3.2340000000000004</v>
      </c>
      <c r="J186" s="80">
        <v>0.1</v>
      </c>
      <c r="K186" s="80">
        <f t="shared" si="108"/>
        <v>4.62</v>
      </c>
      <c r="L186" s="27">
        <f t="shared" si="109"/>
        <v>0.17</v>
      </c>
      <c r="M186" s="81">
        <f t="shared" si="110"/>
        <v>7.854000000000001</v>
      </c>
      <c r="N186" s="82"/>
      <c r="O186" s="3"/>
      <c r="P186" s="3"/>
      <c r="S186" s="35"/>
    </row>
    <row r="187" spans="1:19" s="4" customFormat="1" ht="15.75" customHeight="1">
      <c r="A187" s="78"/>
      <c r="B187" s="78"/>
      <c r="C187" s="100"/>
      <c r="D187" s="104"/>
      <c r="E187" s="26"/>
      <c r="F187" s="79"/>
      <c r="G187" s="90"/>
      <c r="H187" s="80"/>
      <c r="I187" s="80"/>
      <c r="J187" s="80"/>
      <c r="K187" s="80"/>
      <c r="L187" s="27"/>
      <c r="M187" s="81"/>
      <c r="N187" s="82"/>
      <c r="O187" s="3"/>
      <c r="P187" s="3"/>
      <c r="S187" s="35"/>
    </row>
    <row r="188" spans="1:19" s="4" customFormat="1" ht="15.75" customHeight="1">
      <c r="A188" s="78"/>
      <c r="B188" s="78"/>
      <c r="C188" s="106" t="s">
        <v>147</v>
      </c>
      <c r="D188" s="104">
        <v>11.39</v>
      </c>
      <c r="E188" s="26"/>
      <c r="F188" s="79"/>
      <c r="G188" s="90"/>
      <c r="H188" s="80"/>
      <c r="I188" s="80"/>
      <c r="J188" s="80"/>
      <c r="K188" s="80"/>
      <c r="L188" s="27"/>
      <c r="M188" s="81"/>
      <c r="N188" s="82"/>
      <c r="O188" s="3"/>
      <c r="P188" s="3"/>
      <c r="S188" s="35"/>
    </row>
    <row r="189" spans="1:19" s="4" customFormat="1" ht="15.75" customHeight="1">
      <c r="A189" s="78" t="s">
        <v>38</v>
      </c>
      <c r="B189" s="78" t="s">
        <v>39</v>
      </c>
      <c r="C189" s="100" t="s">
        <v>143</v>
      </c>
      <c r="D189" s="104">
        <f>D188*11.5</f>
        <v>130.98500000000001</v>
      </c>
      <c r="E189" s="26">
        <v>0.05</v>
      </c>
      <c r="F189" s="79">
        <f t="shared" ref="F189:F194" si="112">D189*(1+E189)</f>
        <v>137.53425000000001</v>
      </c>
      <c r="G189" s="90" t="s">
        <v>49</v>
      </c>
      <c r="H189" s="80">
        <v>1.5</v>
      </c>
      <c r="I189" s="80">
        <f t="shared" ref="I189:I194" si="113">H189*F189</f>
        <v>206.30137500000001</v>
      </c>
      <c r="J189" s="80">
        <v>1.1499999999999999</v>
      </c>
      <c r="K189" s="80">
        <f t="shared" ref="K189:K194" si="114">J189*F189</f>
        <v>158.1643875</v>
      </c>
      <c r="L189" s="27">
        <f t="shared" ref="L189:L194" si="115">(H189+J189)</f>
        <v>2.65</v>
      </c>
      <c r="M189" s="81">
        <f t="shared" ref="M189:M194" si="116">L189*F189</f>
        <v>364.46576250000004</v>
      </c>
      <c r="N189" s="82"/>
      <c r="O189" s="3"/>
      <c r="P189" s="3"/>
      <c r="S189" s="35"/>
    </row>
    <row r="190" spans="1:19" s="4" customFormat="1" ht="15.75" customHeight="1">
      <c r="A190" s="78" t="s">
        <v>38</v>
      </c>
      <c r="B190" s="78" t="s">
        <v>39</v>
      </c>
      <c r="C190" s="100" t="s">
        <v>144</v>
      </c>
      <c r="D190" s="104">
        <f>D188*2</f>
        <v>22.78</v>
      </c>
      <c r="E190" s="26">
        <v>0.05</v>
      </c>
      <c r="F190" s="79">
        <f t="shared" si="112"/>
        <v>23.919</v>
      </c>
      <c r="G190" s="90" t="s">
        <v>47</v>
      </c>
      <c r="H190" s="80">
        <v>1.1000000000000001</v>
      </c>
      <c r="I190" s="80">
        <f t="shared" si="113"/>
        <v>26.310900000000004</v>
      </c>
      <c r="J190" s="80">
        <v>0.95</v>
      </c>
      <c r="K190" s="80">
        <f t="shared" si="114"/>
        <v>22.723050000000001</v>
      </c>
      <c r="L190" s="27">
        <f t="shared" si="115"/>
        <v>2.0499999999999998</v>
      </c>
      <c r="M190" s="81">
        <f t="shared" si="116"/>
        <v>49.033949999999997</v>
      </c>
      <c r="N190" s="82"/>
      <c r="O190" s="3"/>
      <c r="P190" s="3"/>
      <c r="S190" s="35"/>
    </row>
    <row r="191" spans="1:19" s="4" customFormat="1" ht="15.75" customHeight="1">
      <c r="A191" s="78" t="s">
        <v>38</v>
      </c>
      <c r="B191" s="78" t="s">
        <v>39</v>
      </c>
      <c r="C191" s="100" t="s">
        <v>138</v>
      </c>
      <c r="D191" s="104">
        <f>11*11.5*2/32-D192</f>
        <v>6.53125</v>
      </c>
      <c r="E191" s="26">
        <v>0.05</v>
      </c>
      <c r="F191" s="79">
        <f t="shared" si="112"/>
        <v>6.8578125000000005</v>
      </c>
      <c r="G191" s="90" t="s">
        <v>41</v>
      </c>
      <c r="H191" s="80">
        <f t="shared" ref="H191:H192" si="117">0.22*32</f>
        <v>7.04</v>
      </c>
      <c r="I191" s="80">
        <f t="shared" si="113"/>
        <v>48.279000000000003</v>
      </c>
      <c r="J191" s="80">
        <f t="shared" ref="J191:J192" si="118">0.34*32</f>
        <v>10.88</v>
      </c>
      <c r="K191" s="80">
        <f t="shared" si="114"/>
        <v>74.613000000000014</v>
      </c>
      <c r="L191" s="27">
        <f t="shared" si="115"/>
        <v>17.920000000000002</v>
      </c>
      <c r="M191" s="81">
        <f t="shared" si="116"/>
        <v>122.89200000000002</v>
      </c>
      <c r="N191" s="82"/>
      <c r="O191" s="3"/>
      <c r="P191" s="3"/>
      <c r="S191" s="35"/>
    </row>
    <row r="192" spans="1:19" s="4" customFormat="1" ht="15.75" customHeight="1">
      <c r="A192" s="78" t="s">
        <v>38</v>
      </c>
      <c r="B192" s="78" t="s">
        <v>39</v>
      </c>
      <c r="C192" s="100" t="s">
        <v>139</v>
      </c>
      <c r="D192" s="104">
        <f>11*4/32</f>
        <v>1.375</v>
      </c>
      <c r="E192" s="26">
        <v>0.05</v>
      </c>
      <c r="F192" s="79">
        <f t="shared" si="112"/>
        <v>1.4437500000000001</v>
      </c>
      <c r="G192" s="90" t="s">
        <v>41</v>
      </c>
      <c r="H192" s="80">
        <f t="shared" si="117"/>
        <v>7.04</v>
      </c>
      <c r="I192" s="80">
        <f t="shared" si="113"/>
        <v>10.164000000000001</v>
      </c>
      <c r="J192" s="80">
        <f t="shared" si="118"/>
        <v>10.88</v>
      </c>
      <c r="K192" s="80">
        <f t="shared" si="114"/>
        <v>15.708000000000002</v>
      </c>
      <c r="L192" s="27">
        <f t="shared" si="115"/>
        <v>17.920000000000002</v>
      </c>
      <c r="M192" s="81">
        <f t="shared" si="116"/>
        <v>25.872000000000003</v>
      </c>
      <c r="N192" s="82"/>
      <c r="O192" s="3"/>
      <c r="P192" s="3"/>
      <c r="S192" s="35"/>
    </row>
    <row r="193" spans="1:19" s="4" customFormat="1" ht="15.75" customHeight="1">
      <c r="A193" s="78" t="s">
        <v>38</v>
      </c>
      <c r="B193" s="78" t="s">
        <v>39</v>
      </c>
      <c r="C193" s="100" t="s">
        <v>131</v>
      </c>
      <c r="D193" s="104">
        <f>11*2*2</f>
        <v>44</v>
      </c>
      <c r="E193" s="26">
        <v>0.05</v>
      </c>
      <c r="F193" s="79">
        <f t="shared" si="112"/>
        <v>46.2</v>
      </c>
      <c r="G193" s="90" t="s">
        <v>47</v>
      </c>
      <c r="H193" s="80">
        <v>7.0000000000000007E-2</v>
      </c>
      <c r="I193" s="80">
        <f t="shared" si="113"/>
        <v>3.2340000000000004</v>
      </c>
      <c r="J193" s="80">
        <v>0.1</v>
      </c>
      <c r="K193" s="80">
        <f t="shared" si="114"/>
        <v>4.62</v>
      </c>
      <c r="L193" s="27">
        <f t="shared" si="115"/>
        <v>0.17</v>
      </c>
      <c r="M193" s="81">
        <f t="shared" si="116"/>
        <v>7.854000000000001</v>
      </c>
      <c r="N193" s="82"/>
      <c r="O193" s="3"/>
      <c r="P193" s="3"/>
      <c r="S193" s="35"/>
    </row>
    <row r="194" spans="1:19" s="4" customFormat="1">
      <c r="A194" s="78" t="s">
        <v>38</v>
      </c>
      <c r="B194" s="78" t="s">
        <v>39</v>
      </c>
      <c r="C194" s="103" t="s">
        <v>135</v>
      </c>
      <c r="D194" s="104">
        <f>11*10.5</f>
        <v>115.5</v>
      </c>
      <c r="E194" s="26">
        <v>0.05</v>
      </c>
      <c r="F194" s="79">
        <f t="shared" si="112"/>
        <v>121.27500000000001</v>
      </c>
      <c r="G194" s="90" t="s">
        <v>49</v>
      </c>
      <c r="H194" s="80">
        <v>0.41</v>
      </c>
      <c r="I194" s="80">
        <f t="shared" si="113"/>
        <v>49.722749999999998</v>
      </c>
      <c r="J194" s="80">
        <v>0.8</v>
      </c>
      <c r="K194" s="80">
        <f t="shared" si="114"/>
        <v>97.02000000000001</v>
      </c>
      <c r="L194" s="27">
        <f t="shared" si="115"/>
        <v>1.21</v>
      </c>
      <c r="M194" s="81">
        <f t="shared" si="116"/>
        <v>146.74275</v>
      </c>
      <c r="N194" s="82"/>
      <c r="O194" s="3"/>
      <c r="P194" s="3"/>
      <c r="S194" s="35"/>
    </row>
    <row r="195" spans="1:19" s="4" customFormat="1" ht="15.75" customHeight="1">
      <c r="A195" s="78"/>
      <c r="B195" s="78"/>
      <c r="C195" s="100"/>
      <c r="D195" s="104"/>
      <c r="E195" s="26"/>
      <c r="F195" s="79"/>
      <c r="G195" s="90"/>
      <c r="H195" s="80"/>
      <c r="I195" s="80"/>
      <c r="J195" s="80"/>
      <c r="K195" s="80"/>
      <c r="L195" s="27"/>
      <c r="M195" s="81"/>
      <c r="N195" s="82"/>
      <c r="O195" s="3"/>
      <c r="P195" s="3"/>
      <c r="S195" s="35"/>
    </row>
    <row r="196" spans="1:19" s="4" customFormat="1" ht="15.75" customHeight="1">
      <c r="A196" s="78"/>
      <c r="B196" s="78"/>
      <c r="C196" s="106" t="s">
        <v>141</v>
      </c>
      <c r="D196" s="104">
        <v>21.46</v>
      </c>
      <c r="E196" s="26"/>
      <c r="F196" s="79"/>
      <c r="G196" s="90"/>
      <c r="H196" s="80"/>
      <c r="I196" s="80"/>
      <c r="J196" s="80"/>
      <c r="K196" s="80"/>
      <c r="L196" s="27"/>
      <c r="M196" s="81"/>
      <c r="N196" s="82"/>
      <c r="O196" s="3"/>
      <c r="P196" s="3"/>
      <c r="S196" s="35"/>
    </row>
    <row r="197" spans="1:19" s="4" customFormat="1" ht="15.75" customHeight="1">
      <c r="A197" s="78" t="s">
        <v>38</v>
      </c>
      <c r="B197" s="78" t="s">
        <v>39</v>
      </c>
      <c r="C197" s="100" t="s">
        <v>128</v>
      </c>
      <c r="D197" s="104">
        <f>D196*10</f>
        <v>214.60000000000002</v>
      </c>
      <c r="E197" s="26">
        <v>0.05</v>
      </c>
      <c r="F197" s="79">
        <f t="shared" si="12"/>
        <v>225.33000000000004</v>
      </c>
      <c r="G197" s="90" t="s">
        <v>49</v>
      </c>
      <c r="H197" s="80">
        <v>1.5</v>
      </c>
      <c r="I197" s="80">
        <f t="shared" si="13"/>
        <v>337.99500000000006</v>
      </c>
      <c r="J197" s="80">
        <v>1.1499999999999999</v>
      </c>
      <c r="K197" s="80">
        <f t="shared" si="14"/>
        <v>259.12950000000001</v>
      </c>
      <c r="L197" s="27">
        <f t="shared" si="15"/>
        <v>2.65</v>
      </c>
      <c r="M197" s="81">
        <f t="shared" si="16"/>
        <v>597.12450000000013</v>
      </c>
      <c r="N197" s="82"/>
      <c r="O197" s="3"/>
      <c r="P197" s="3"/>
      <c r="S197" s="35"/>
    </row>
    <row r="198" spans="1:19" s="4" customFormat="1" ht="15.75" customHeight="1">
      <c r="A198" s="78" t="s">
        <v>38</v>
      </c>
      <c r="B198" s="78" t="s">
        <v>39</v>
      </c>
      <c r="C198" s="100" t="s">
        <v>129</v>
      </c>
      <c r="D198" s="104">
        <f>D196*2</f>
        <v>42.92</v>
      </c>
      <c r="E198" s="26">
        <v>0.05</v>
      </c>
      <c r="F198" s="79">
        <f t="shared" si="12"/>
        <v>45.066000000000003</v>
      </c>
      <c r="G198" s="90" t="s">
        <v>47</v>
      </c>
      <c r="H198" s="80">
        <v>1.1000000000000001</v>
      </c>
      <c r="I198" s="80">
        <f t="shared" si="13"/>
        <v>49.572600000000008</v>
      </c>
      <c r="J198" s="80">
        <v>0.95</v>
      </c>
      <c r="K198" s="80">
        <f t="shared" si="14"/>
        <v>42.8127</v>
      </c>
      <c r="L198" s="27">
        <f t="shared" si="15"/>
        <v>2.0499999999999998</v>
      </c>
      <c r="M198" s="81">
        <f t="shared" si="16"/>
        <v>92.385300000000001</v>
      </c>
      <c r="N198" s="82"/>
      <c r="O198" s="3"/>
      <c r="P198" s="3"/>
      <c r="S198" s="35"/>
    </row>
    <row r="199" spans="1:19" s="4" customFormat="1" ht="15.75" customHeight="1">
      <c r="A199" s="78" t="s">
        <v>38</v>
      </c>
      <c r="B199" s="78" t="s">
        <v>39</v>
      </c>
      <c r="C199" s="100" t="s">
        <v>138</v>
      </c>
      <c r="D199" s="104">
        <f>21*10.5/32</f>
        <v>6.890625</v>
      </c>
      <c r="E199" s="26">
        <v>0.05</v>
      </c>
      <c r="F199" s="79">
        <f t="shared" si="12"/>
        <v>7.2351562500000002</v>
      </c>
      <c r="G199" s="90" t="s">
        <v>41</v>
      </c>
      <c r="H199" s="80">
        <f>0.22*32</f>
        <v>7.04</v>
      </c>
      <c r="I199" s="80">
        <f t="shared" si="13"/>
        <v>50.935500000000005</v>
      </c>
      <c r="J199" s="80">
        <f>0.34*32</f>
        <v>10.88</v>
      </c>
      <c r="K199" s="80">
        <f t="shared" si="14"/>
        <v>78.718500000000006</v>
      </c>
      <c r="L199" s="27">
        <f t="shared" si="15"/>
        <v>17.920000000000002</v>
      </c>
      <c r="M199" s="81">
        <f t="shared" si="16"/>
        <v>129.65400000000002</v>
      </c>
      <c r="N199" s="82"/>
      <c r="O199" s="3"/>
      <c r="P199" s="3"/>
      <c r="S199" s="35"/>
    </row>
    <row r="200" spans="1:19" s="4" customFormat="1" ht="15.75" customHeight="1">
      <c r="A200" s="78" t="s">
        <v>38</v>
      </c>
      <c r="B200" s="78" t="s">
        <v>39</v>
      </c>
      <c r="C200" s="100" t="s">
        <v>131</v>
      </c>
      <c r="D200" s="104">
        <f>21*2</f>
        <v>42</v>
      </c>
      <c r="E200" s="26">
        <v>0.05</v>
      </c>
      <c r="F200" s="79">
        <f t="shared" si="12"/>
        <v>44.1</v>
      </c>
      <c r="G200" s="90" t="s">
        <v>47</v>
      </c>
      <c r="H200" s="80">
        <v>7.0000000000000007E-2</v>
      </c>
      <c r="I200" s="80">
        <f t="shared" si="13"/>
        <v>3.0870000000000002</v>
      </c>
      <c r="J200" s="80">
        <v>0.1</v>
      </c>
      <c r="K200" s="80">
        <f t="shared" si="14"/>
        <v>4.41</v>
      </c>
      <c r="L200" s="27">
        <f t="shared" si="15"/>
        <v>0.17</v>
      </c>
      <c r="M200" s="81">
        <f t="shared" si="16"/>
        <v>7.4970000000000008</v>
      </c>
      <c r="N200" s="82"/>
      <c r="O200" s="3"/>
      <c r="P200" s="3"/>
      <c r="S200" s="35"/>
    </row>
    <row r="201" spans="1:19" s="4" customFormat="1" ht="15.75" customHeight="1">
      <c r="A201" s="78"/>
      <c r="B201" s="78"/>
      <c r="C201" s="100"/>
      <c r="D201" s="104"/>
      <c r="E201" s="26"/>
      <c r="F201" s="79"/>
      <c r="G201" s="90"/>
      <c r="H201" s="80"/>
      <c r="I201" s="80"/>
      <c r="J201" s="80"/>
      <c r="K201" s="80"/>
      <c r="L201" s="27"/>
      <c r="M201" s="81"/>
      <c r="N201" s="82"/>
      <c r="O201" s="3"/>
      <c r="P201" s="3"/>
      <c r="S201" s="35"/>
    </row>
    <row r="202" spans="1:19" s="4" customFormat="1" ht="15.75" customHeight="1">
      <c r="A202" s="78"/>
      <c r="B202" s="78"/>
      <c r="C202" s="106" t="s">
        <v>148</v>
      </c>
      <c r="D202" s="104">
        <v>11.18</v>
      </c>
      <c r="E202" s="26"/>
      <c r="F202" s="79"/>
      <c r="G202" s="90"/>
      <c r="H202" s="80"/>
      <c r="I202" s="80"/>
      <c r="J202" s="80"/>
      <c r="K202" s="80"/>
      <c r="L202" s="27"/>
      <c r="M202" s="81"/>
      <c r="N202" s="82"/>
      <c r="O202" s="3"/>
      <c r="P202" s="3"/>
      <c r="S202" s="35"/>
    </row>
    <row r="203" spans="1:19" s="4" customFormat="1" ht="15.75" customHeight="1">
      <c r="A203" s="78" t="s">
        <v>38</v>
      </c>
      <c r="B203" s="78" t="s">
        <v>39</v>
      </c>
      <c r="C203" s="100" t="s">
        <v>128</v>
      </c>
      <c r="D203" s="104">
        <f>D202*10</f>
        <v>111.8</v>
      </c>
      <c r="E203" s="26">
        <v>0.05</v>
      </c>
      <c r="F203" s="79">
        <f t="shared" ref="F203:F207" si="119">D203*(1+E203)</f>
        <v>117.39</v>
      </c>
      <c r="G203" s="90" t="s">
        <v>49</v>
      </c>
      <c r="H203" s="80">
        <v>1.5</v>
      </c>
      <c r="I203" s="80">
        <f t="shared" ref="I203:I207" si="120">H203*F203</f>
        <v>176.08500000000001</v>
      </c>
      <c r="J203" s="80">
        <v>1.1499999999999999</v>
      </c>
      <c r="K203" s="80">
        <f t="shared" ref="K203:K207" si="121">J203*F203</f>
        <v>134.99849999999998</v>
      </c>
      <c r="L203" s="27">
        <f t="shared" ref="L203:L207" si="122">(H203+J203)</f>
        <v>2.65</v>
      </c>
      <c r="M203" s="81">
        <f t="shared" ref="M203:M207" si="123">L203*F203</f>
        <v>311.08350000000002</v>
      </c>
      <c r="N203" s="82"/>
      <c r="O203" s="3"/>
      <c r="P203" s="3"/>
      <c r="S203" s="35"/>
    </row>
    <row r="204" spans="1:19" s="4" customFormat="1" ht="15.75" customHeight="1">
      <c r="A204" s="78" t="s">
        <v>38</v>
      </c>
      <c r="B204" s="78" t="s">
        <v>39</v>
      </c>
      <c r="C204" s="100" t="s">
        <v>129</v>
      </c>
      <c r="D204" s="104">
        <f>D202*2</f>
        <v>22.36</v>
      </c>
      <c r="E204" s="26">
        <v>0.05</v>
      </c>
      <c r="F204" s="79">
        <f t="shared" si="119"/>
        <v>23.478000000000002</v>
      </c>
      <c r="G204" s="90" t="s">
        <v>47</v>
      </c>
      <c r="H204" s="80">
        <v>1.1000000000000001</v>
      </c>
      <c r="I204" s="80">
        <f t="shared" si="120"/>
        <v>25.825800000000005</v>
      </c>
      <c r="J204" s="80">
        <v>0.95</v>
      </c>
      <c r="K204" s="80">
        <f t="shared" si="121"/>
        <v>22.304100000000002</v>
      </c>
      <c r="L204" s="27">
        <f t="shared" si="122"/>
        <v>2.0499999999999998</v>
      </c>
      <c r="M204" s="81">
        <f t="shared" si="123"/>
        <v>48.129899999999999</v>
      </c>
      <c r="N204" s="82"/>
      <c r="O204" s="3"/>
      <c r="P204" s="3"/>
      <c r="S204" s="35"/>
    </row>
    <row r="205" spans="1:19" s="4" customFormat="1" ht="15.75" customHeight="1">
      <c r="A205" s="78" t="s">
        <v>38</v>
      </c>
      <c r="B205" s="78" t="s">
        <v>39</v>
      </c>
      <c r="C205" s="100" t="s">
        <v>138</v>
      </c>
      <c r="D205" s="104">
        <f>11*10.5*2/32</f>
        <v>7.21875</v>
      </c>
      <c r="E205" s="26">
        <v>0.05</v>
      </c>
      <c r="F205" s="79">
        <f t="shared" si="119"/>
        <v>7.5796875000000004</v>
      </c>
      <c r="G205" s="90" t="s">
        <v>41</v>
      </c>
      <c r="H205" s="80">
        <f>0.22*32</f>
        <v>7.04</v>
      </c>
      <c r="I205" s="80">
        <f t="shared" si="120"/>
        <v>53.361000000000004</v>
      </c>
      <c r="J205" s="80">
        <f>0.34*32</f>
        <v>10.88</v>
      </c>
      <c r="K205" s="80">
        <f t="shared" si="121"/>
        <v>82.467000000000013</v>
      </c>
      <c r="L205" s="27">
        <f t="shared" si="122"/>
        <v>17.920000000000002</v>
      </c>
      <c r="M205" s="81">
        <f t="shared" si="123"/>
        <v>135.82800000000003</v>
      </c>
      <c r="N205" s="82"/>
      <c r="O205" s="3"/>
      <c r="P205" s="3"/>
      <c r="S205" s="35"/>
    </row>
    <row r="206" spans="1:19" s="4" customFormat="1" ht="15.75" customHeight="1">
      <c r="A206" s="78" t="s">
        <v>38</v>
      </c>
      <c r="B206" s="78" t="s">
        <v>39</v>
      </c>
      <c r="C206" s="100" t="s">
        <v>131</v>
      </c>
      <c r="D206" s="104">
        <f>11*4</f>
        <v>44</v>
      </c>
      <c r="E206" s="26">
        <v>0.05</v>
      </c>
      <c r="F206" s="79">
        <f t="shared" si="119"/>
        <v>46.2</v>
      </c>
      <c r="G206" s="90" t="s">
        <v>47</v>
      </c>
      <c r="H206" s="80">
        <v>7.0000000000000007E-2</v>
      </c>
      <c r="I206" s="80">
        <f t="shared" si="120"/>
        <v>3.2340000000000004</v>
      </c>
      <c r="J206" s="80">
        <v>0.1</v>
      </c>
      <c r="K206" s="80">
        <f t="shared" si="121"/>
        <v>4.62</v>
      </c>
      <c r="L206" s="27">
        <f t="shared" si="122"/>
        <v>0.17</v>
      </c>
      <c r="M206" s="81">
        <f t="shared" si="123"/>
        <v>7.854000000000001</v>
      </c>
      <c r="N206" s="82"/>
      <c r="O206" s="3"/>
      <c r="P206" s="3"/>
      <c r="S206" s="35"/>
    </row>
    <row r="207" spans="1:19" s="4" customFormat="1">
      <c r="A207" s="78" t="s">
        <v>38</v>
      </c>
      <c r="B207" s="78" t="s">
        <v>39</v>
      </c>
      <c r="C207" s="103" t="s">
        <v>135</v>
      </c>
      <c r="D207" s="104">
        <f>11*10.5*2</f>
        <v>231</v>
      </c>
      <c r="E207" s="26">
        <v>0.05</v>
      </c>
      <c r="F207" s="79">
        <f t="shared" si="119"/>
        <v>242.55</v>
      </c>
      <c r="G207" s="90" t="s">
        <v>49</v>
      </c>
      <c r="H207" s="80">
        <v>0.41</v>
      </c>
      <c r="I207" s="80">
        <f t="shared" si="120"/>
        <v>99.445499999999996</v>
      </c>
      <c r="J207" s="80">
        <v>0.8</v>
      </c>
      <c r="K207" s="80">
        <f t="shared" si="121"/>
        <v>194.04000000000002</v>
      </c>
      <c r="L207" s="27">
        <f t="shared" si="122"/>
        <v>1.21</v>
      </c>
      <c r="M207" s="81">
        <f t="shared" si="123"/>
        <v>293.4855</v>
      </c>
      <c r="N207" s="82"/>
      <c r="O207" s="3"/>
      <c r="P207" s="3"/>
      <c r="S207" s="35"/>
    </row>
    <row r="208" spans="1:19" s="4" customFormat="1" ht="15.75" customHeight="1">
      <c r="A208" s="78"/>
      <c r="B208" s="78"/>
      <c r="C208" s="100"/>
      <c r="D208" s="104"/>
      <c r="E208" s="26"/>
      <c r="F208" s="79"/>
      <c r="G208" s="90"/>
      <c r="H208" s="80"/>
      <c r="I208" s="80"/>
      <c r="J208" s="80"/>
      <c r="K208" s="80"/>
      <c r="L208" s="27"/>
      <c r="M208" s="81"/>
      <c r="N208" s="82"/>
      <c r="O208" s="3"/>
      <c r="P208" s="3"/>
      <c r="S208" s="35"/>
    </row>
    <row r="209" spans="1:19" s="4" customFormat="1" ht="15.75" customHeight="1">
      <c r="A209" s="78"/>
      <c r="B209" s="78"/>
      <c r="C209" s="106" t="s">
        <v>149</v>
      </c>
      <c r="D209" s="104">
        <v>11.53</v>
      </c>
      <c r="E209" s="26"/>
      <c r="F209" s="79"/>
      <c r="G209" s="90"/>
      <c r="H209" s="80"/>
      <c r="I209" s="80"/>
      <c r="J209" s="80"/>
      <c r="K209" s="80"/>
      <c r="L209" s="27"/>
      <c r="M209" s="81"/>
      <c r="N209" s="82"/>
      <c r="O209" s="3"/>
      <c r="P209" s="3"/>
      <c r="S209" s="35"/>
    </row>
    <row r="210" spans="1:19" s="4" customFormat="1" ht="15.75" customHeight="1">
      <c r="A210" s="78" t="s">
        <v>38</v>
      </c>
      <c r="B210" s="78" t="s">
        <v>39</v>
      </c>
      <c r="C210" s="100" t="s">
        <v>143</v>
      </c>
      <c r="D210" s="104">
        <f>D209*30</f>
        <v>345.9</v>
      </c>
      <c r="E210" s="26">
        <v>0.05</v>
      </c>
      <c r="F210" s="79">
        <f t="shared" si="12"/>
        <v>363.19499999999999</v>
      </c>
      <c r="G210" s="90" t="s">
        <v>49</v>
      </c>
      <c r="H210" s="80">
        <v>1.5</v>
      </c>
      <c r="I210" s="80">
        <f t="shared" si="13"/>
        <v>544.79250000000002</v>
      </c>
      <c r="J210" s="80">
        <v>1.1499999999999999</v>
      </c>
      <c r="K210" s="80">
        <f t="shared" si="14"/>
        <v>417.67424999999997</v>
      </c>
      <c r="L210" s="27">
        <f t="shared" si="15"/>
        <v>2.65</v>
      </c>
      <c r="M210" s="81">
        <f t="shared" si="16"/>
        <v>962.46674999999993</v>
      </c>
      <c r="N210" s="82"/>
      <c r="O210" s="3"/>
      <c r="P210" s="3"/>
      <c r="S210" s="35"/>
    </row>
    <row r="211" spans="1:19" s="4" customFormat="1" ht="15.75" customHeight="1">
      <c r="A211" s="78" t="s">
        <v>38</v>
      </c>
      <c r="B211" s="78" t="s">
        <v>39</v>
      </c>
      <c r="C211" s="100" t="s">
        <v>144</v>
      </c>
      <c r="D211" s="104">
        <f>D209*2</f>
        <v>23.06</v>
      </c>
      <c r="E211" s="26">
        <v>0.05</v>
      </c>
      <c r="F211" s="79">
        <f t="shared" si="12"/>
        <v>24.213000000000001</v>
      </c>
      <c r="G211" s="90" t="s">
        <v>47</v>
      </c>
      <c r="H211" s="80">
        <v>1.1000000000000001</v>
      </c>
      <c r="I211" s="80">
        <f t="shared" si="13"/>
        <v>26.634300000000003</v>
      </c>
      <c r="J211" s="80">
        <v>0.95</v>
      </c>
      <c r="K211" s="80">
        <f t="shared" si="14"/>
        <v>23.00235</v>
      </c>
      <c r="L211" s="27">
        <f t="shared" si="15"/>
        <v>2.0499999999999998</v>
      </c>
      <c r="M211" s="81">
        <f t="shared" si="16"/>
        <v>49.636649999999996</v>
      </c>
      <c r="N211" s="82"/>
      <c r="O211" s="3"/>
      <c r="P211" s="3"/>
      <c r="S211" s="35"/>
    </row>
    <row r="212" spans="1:19" s="4" customFormat="1" ht="15.75" customHeight="1">
      <c r="A212" s="78" t="s">
        <v>38</v>
      </c>
      <c r="B212" s="78" t="s">
        <v>39</v>
      </c>
      <c r="C212" s="100" t="s">
        <v>138</v>
      </c>
      <c r="D212" s="104">
        <f>12*30/32-D213</f>
        <v>9.75</v>
      </c>
      <c r="E212" s="26">
        <v>0.05</v>
      </c>
      <c r="F212" s="79">
        <f t="shared" si="12"/>
        <v>10.237500000000001</v>
      </c>
      <c r="G212" s="90" t="s">
        <v>41</v>
      </c>
      <c r="H212" s="80">
        <f t="shared" ref="H212:H213" si="124">0.22*32</f>
        <v>7.04</v>
      </c>
      <c r="I212" s="80">
        <f t="shared" si="13"/>
        <v>72.072000000000003</v>
      </c>
      <c r="J212" s="80">
        <f t="shared" ref="J212:J213" si="125">0.34*32</f>
        <v>10.88</v>
      </c>
      <c r="K212" s="80">
        <f t="shared" si="14"/>
        <v>111.38400000000001</v>
      </c>
      <c r="L212" s="27">
        <f t="shared" si="15"/>
        <v>17.920000000000002</v>
      </c>
      <c r="M212" s="81">
        <f t="shared" si="16"/>
        <v>183.45600000000002</v>
      </c>
      <c r="N212" s="82"/>
      <c r="O212" s="3"/>
      <c r="P212" s="3"/>
      <c r="S212" s="35"/>
    </row>
    <row r="213" spans="1:19" s="4" customFormat="1" ht="15.75" customHeight="1">
      <c r="A213" s="78" t="s">
        <v>38</v>
      </c>
      <c r="B213" s="78" t="s">
        <v>39</v>
      </c>
      <c r="C213" s="100" t="s">
        <v>139</v>
      </c>
      <c r="D213" s="104">
        <f>12*4/32</f>
        <v>1.5</v>
      </c>
      <c r="E213" s="26">
        <v>0.05</v>
      </c>
      <c r="F213" s="79">
        <f t="shared" ref="F213" si="126">D213*(1+E213)</f>
        <v>1.5750000000000002</v>
      </c>
      <c r="G213" s="90" t="s">
        <v>41</v>
      </c>
      <c r="H213" s="80">
        <f t="shared" si="124"/>
        <v>7.04</v>
      </c>
      <c r="I213" s="80">
        <f t="shared" si="13"/>
        <v>11.088000000000001</v>
      </c>
      <c r="J213" s="80">
        <f t="shared" si="125"/>
        <v>10.88</v>
      </c>
      <c r="K213" s="80">
        <f t="shared" ref="K213" si="127">J213*F213</f>
        <v>17.136000000000003</v>
      </c>
      <c r="L213" s="27">
        <f t="shared" ref="L213" si="128">(H213+J213)</f>
        <v>17.920000000000002</v>
      </c>
      <c r="M213" s="81">
        <f t="shared" ref="M213" si="129">L213*F213</f>
        <v>28.224000000000007</v>
      </c>
      <c r="N213" s="82"/>
      <c r="O213" s="3"/>
      <c r="P213" s="3"/>
      <c r="S213" s="35"/>
    </row>
    <row r="214" spans="1:19" s="4" customFormat="1" ht="15.75" customHeight="1">
      <c r="A214" s="78" t="s">
        <v>38</v>
      </c>
      <c r="B214" s="78" t="s">
        <v>39</v>
      </c>
      <c r="C214" s="100" t="s">
        <v>131</v>
      </c>
      <c r="D214" s="104">
        <f>12*2</f>
        <v>24</v>
      </c>
      <c r="E214" s="26">
        <v>0.05</v>
      </c>
      <c r="F214" s="79">
        <f t="shared" si="12"/>
        <v>25.200000000000003</v>
      </c>
      <c r="G214" s="90" t="s">
        <v>47</v>
      </c>
      <c r="H214" s="80">
        <v>7.0000000000000007E-2</v>
      </c>
      <c r="I214" s="80">
        <f t="shared" si="13"/>
        <v>1.7640000000000005</v>
      </c>
      <c r="J214" s="80">
        <v>0.1</v>
      </c>
      <c r="K214" s="80">
        <f t="shared" si="14"/>
        <v>2.5200000000000005</v>
      </c>
      <c r="L214" s="27">
        <f t="shared" si="15"/>
        <v>0.17</v>
      </c>
      <c r="M214" s="81">
        <f t="shared" si="16"/>
        <v>4.2840000000000007</v>
      </c>
      <c r="N214" s="82"/>
      <c r="O214" s="3"/>
      <c r="P214" s="3"/>
      <c r="S214" s="35"/>
    </row>
    <row r="215" spans="1:19" s="4" customFormat="1">
      <c r="A215" s="78" t="s">
        <v>38</v>
      </c>
      <c r="B215" s="78" t="s">
        <v>39</v>
      </c>
      <c r="C215" s="103" t="s">
        <v>150</v>
      </c>
      <c r="D215" s="104">
        <f>12*30</f>
        <v>360</v>
      </c>
      <c r="E215" s="26">
        <v>0.05</v>
      </c>
      <c r="F215" s="79">
        <f t="shared" si="12"/>
        <v>378</v>
      </c>
      <c r="G215" s="90" t="s">
        <v>49</v>
      </c>
      <c r="H215" s="80">
        <v>0.41</v>
      </c>
      <c r="I215" s="80">
        <f t="shared" si="13"/>
        <v>154.97999999999999</v>
      </c>
      <c r="J215" s="80">
        <v>0.8</v>
      </c>
      <c r="K215" s="80">
        <f t="shared" si="14"/>
        <v>302.40000000000003</v>
      </c>
      <c r="L215" s="27">
        <f t="shared" si="15"/>
        <v>1.21</v>
      </c>
      <c r="M215" s="81">
        <f t="shared" si="16"/>
        <v>457.38</v>
      </c>
      <c r="N215" s="82"/>
      <c r="O215" s="3"/>
      <c r="P215" s="3"/>
      <c r="S215" s="35"/>
    </row>
    <row r="216" spans="1:19" s="4" customFormat="1" ht="15.75" customHeight="1">
      <c r="A216" s="78"/>
      <c r="B216" s="78"/>
      <c r="C216" s="100"/>
      <c r="D216" s="104"/>
      <c r="E216" s="26"/>
      <c r="F216" s="79"/>
      <c r="G216" s="90"/>
      <c r="H216" s="80"/>
      <c r="I216" s="80"/>
      <c r="J216" s="80"/>
      <c r="K216" s="80"/>
      <c r="L216" s="27"/>
      <c r="M216" s="81"/>
      <c r="N216" s="82"/>
      <c r="O216" s="3"/>
      <c r="P216" s="3"/>
      <c r="S216" s="35"/>
    </row>
    <row r="217" spans="1:19" s="4" customFormat="1" ht="15.75" customHeight="1">
      <c r="A217" s="78"/>
      <c r="B217" s="78"/>
      <c r="C217" s="106" t="s">
        <v>151</v>
      </c>
      <c r="D217" s="104">
        <v>8.08</v>
      </c>
      <c r="E217" s="26"/>
      <c r="F217" s="79"/>
      <c r="G217" s="90"/>
      <c r="H217" s="80"/>
      <c r="I217" s="80"/>
      <c r="J217" s="80"/>
      <c r="K217" s="80"/>
      <c r="L217" s="27"/>
      <c r="M217" s="81"/>
      <c r="N217" s="82"/>
      <c r="O217" s="3"/>
      <c r="P217" s="3"/>
      <c r="S217" s="35"/>
    </row>
    <row r="218" spans="1:19" s="4" customFormat="1">
      <c r="A218" s="78" t="s">
        <v>38</v>
      </c>
      <c r="B218" s="78" t="s">
        <v>39</v>
      </c>
      <c r="C218" s="103" t="s">
        <v>150</v>
      </c>
      <c r="D218" s="104">
        <f>8*10.5</f>
        <v>84</v>
      </c>
      <c r="E218" s="26">
        <v>0.05</v>
      </c>
      <c r="F218" s="79">
        <f t="shared" ref="F218" si="130">D218*(1+E218)</f>
        <v>88.2</v>
      </c>
      <c r="G218" s="90" t="s">
        <v>49</v>
      </c>
      <c r="H218" s="80">
        <v>0.41</v>
      </c>
      <c r="I218" s="80">
        <f t="shared" ref="I218" si="131">H218*F218</f>
        <v>36.161999999999999</v>
      </c>
      <c r="J218" s="80">
        <v>0.8</v>
      </c>
      <c r="K218" s="80">
        <f t="shared" ref="K218" si="132">J218*F218</f>
        <v>70.56</v>
      </c>
      <c r="L218" s="27">
        <f t="shared" ref="L218" si="133">(H218+J218)</f>
        <v>1.21</v>
      </c>
      <c r="M218" s="81">
        <f t="shared" ref="M218" si="134">L218*F218</f>
        <v>106.72199999999999</v>
      </c>
      <c r="N218" s="82"/>
      <c r="O218" s="3"/>
      <c r="P218" s="3"/>
      <c r="S218" s="35"/>
    </row>
    <row r="219" spans="1:19" s="4" customFormat="1" ht="15.75" customHeight="1">
      <c r="A219" s="78"/>
      <c r="B219" s="78"/>
      <c r="C219" s="100"/>
      <c r="D219" s="104"/>
      <c r="E219" s="26"/>
      <c r="F219" s="79"/>
      <c r="G219" s="90"/>
      <c r="H219" s="80"/>
      <c r="I219" s="80"/>
      <c r="J219" s="80"/>
      <c r="K219" s="80"/>
      <c r="L219" s="27"/>
      <c r="M219" s="81"/>
      <c r="N219" s="82"/>
      <c r="O219" s="3"/>
      <c r="P219" s="3"/>
      <c r="S219" s="35"/>
    </row>
    <row r="220" spans="1:19" s="4" customFormat="1" ht="15.75" customHeight="1">
      <c r="A220" s="78"/>
      <c r="B220" s="78"/>
      <c r="C220" s="106" t="s">
        <v>152</v>
      </c>
      <c r="D220" s="104">
        <v>18.079999999999998</v>
      </c>
      <c r="E220" s="26"/>
      <c r="F220" s="79"/>
      <c r="G220" s="90"/>
      <c r="H220" s="80"/>
      <c r="I220" s="80"/>
      <c r="J220" s="80"/>
      <c r="K220" s="80"/>
      <c r="L220" s="27"/>
      <c r="M220" s="81"/>
      <c r="N220" s="82"/>
      <c r="O220" s="3"/>
      <c r="P220" s="3"/>
      <c r="S220" s="35"/>
    </row>
    <row r="221" spans="1:19" s="4" customFormat="1" ht="15.75" customHeight="1">
      <c r="A221" s="78" t="s">
        <v>38</v>
      </c>
      <c r="B221" s="78" t="s">
        <v>39</v>
      </c>
      <c r="C221" s="100" t="s">
        <v>153</v>
      </c>
      <c r="D221" s="104">
        <f>D220*30</f>
        <v>542.4</v>
      </c>
      <c r="E221" s="26">
        <v>0.05</v>
      </c>
      <c r="F221" s="79">
        <f t="shared" ref="F221:F225" si="135">D221*(1+E221)</f>
        <v>569.52</v>
      </c>
      <c r="G221" s="90" t="s">
        <v>49</v>
      </c>
      <c r="H221" s="80">
        <v>1.5</v>
      </c>
      <c r="I221" s="80">
        <f t="shared" ref="I221:I225" si="136">H221*F221</f>
        <v>854.28</v>
      </c>
      <c r="J221" s="80">
        <v>1.1499999999999999</v>
      </c>
      <c r="K221" s="80">
        <f t="shared" ref="K221:K225" si="137">J221*F221</f>
        <v>654.94799999999998</v>
      </c>
      <c r="L221" s="27">
        <f t="shared" ref="L221:L225" si="138">(H221+J221)</f>
        <v>2.65</v>
      </c>
      <c r="M221" s="81">
        <f t="shared" ref="M221:M225" si="139">L221*F221</f>
        <v>1509.2279999999998</v>
      </c>
      <c r="N221" s="82"/>
      <c r="O221" s="3"/>
      <c r="P221" s="3"/>
      <c r="S221" s="35"/>
    </row>
    <row r="222" spans="1:19" s="4" customFormat="1" ht="15.75" customHeight="1">
      <c r="A222" s="78" t="s">
        <v>38</v>
      </c>
      <c r="B222" s="78" t="s">
        <v>39</v>
      </c>
      <c r="C222" s="100" t="s">
        <v>144</v>
      </c>
      <c r="D222" s="104">
        <f>D220*2</f>
        <v>36.159999999999997</v>
      </c>
      <c r="E222" s="26">
        <v>0.05</v>
      </c>
      <c r="F222" s="79">
        <f t="shared" si="135"/>
        <v>37.967999999999996</v>
      </c>
      <c r="G222" s="90" t="s">
        <v>47</v>
      </c>
      <c r="H222" s="80">
        <v>1.1000000000000001</v>
      </c>
      <c r="I222" s="80">
        <f t="shared" si="136"/>
        <v>41.764800000000001</v>
      </c>
      <c r="J222" s="80">
        <v>0.95</v>
      </c>
      <c r="K222" s="80">
        <f t="shared" si="137"/>
        <v>36.069599999999994</v>
      </c>
      <c r="L222" s="27">
        <f t="shared" si="138"/>
        <v>2.0499999999999998</v>
      </c>
      <c r="M222" s="81">
        <f t="shared" si="139"/>
        <v>77.834399999999988</v>
      </c>
      <c r="N222" s="82"/>
      <c r="O222" s="3"/>
      <c r="P222" s="3"/>
      <c r="S222" s="35"/>
    </row>
    <row r="223" spans="1:19" s="4" customFormat="1" ht="15.75" customHeight="1">
      <c r="A223" s="78" t="s">
        <v>38</v>
      </c>
      <c r="B223" s="78" t="s">
        <v>39</v>
      </c>
      <c r="C223" s="100" t="s">
        <v>138</v>
      </c>
      <c r="D223" s="104">
        <f>18*30/32</f>
        <v>16.875</v>
      </c>
      <c r="E223" s="26">
        <v>0.05</v>
      </c>
      <c r="F223" s="79">
        <f t="shared" si="135"/>
        <v>17.71875</v>
      </c>
      <c r="G223" s="90" t="s">
        <v>41</v>
      </c>
      <c r="H223" s="80">
        <f>0.22*32</f>
        <v>7.04</v>
      </c>
      <c r="I223" s="80">
        <f t="shared" si="136"/>
        <v>124.74</v>
      </c>
      <c r="J223" s="80">
        <f>0.34*32</f>
        <v>10.88</v>
      </c>
      <c r="K223" s="80">
        <f t="shared" si="137"/>
        <v>192.78</v>
      </c>
      <c r="L223" s="27">
        <f t="shared" si="138"/>
        <v>17.920000000000002</v>
      </c>
      <c r="M223" s="81">
        <f t="shared" si="139"/>
        <v>317.52000000000004</v>
      </c>
      <c r="N223" s="82"/>
      <c r="O223" s="3"/>
      <c r="P223" s="3"/>
      <c r="S223" s="35"/>
    </row>
    <row r="224" spans="1:19" s="4" customFormat="1" ht="15.75" customHeight="1">
      <c r="A224" s="78" t="s">
        <v>38</v>
      </c>
      <c r="B224" s="78" t="s">
        <v>39</v>
      </c>
      <c r="C224" s="100" t="s">
        <v>131</v>
      </c>
      <c r="D224" s="104">
        <f>18*2</f>
        <v>36</v>
      </c>
      <c r="E224" s="26">
        <v>0.05</v>
      </c>
      <c r="F224" s="79">
        <f t="shared" si="135"/>
        <v>37.800000000000004</v>
      </c>
      <c r="G224" s="90" t="s">
        <v>47</v>
      </c>
      <c r="H224" s="80">
        <v>7.0000000000000007E-2</v>
      </c>
      <c r="I224" s="80">
        <f t="shared" si="136"/>
        <v>2.6460000000000004</v>
      </c>
      <c r="J224" s="80">
        <v>0.1</v>
      </c>
      <c r="K224" s="80">
        <f t="shared" si="137"/>
        <v>3.7800000000000007</v>
      </c>
      <c r="L224" s="27">
        <f t="shared" si="138"/>
        <v>0.17</v>
      </c>
      <c r="M224" s="81">
        <f t="shared" si="139"/>
        <v>6.426000000000001</v>
      </c>
      <c r="N224" s="82"/>
      <c r="O224" s="3"/>
      <c r="P224" s="3"/>
      <c r="S224" s="35"/>
    </row>
    <row r="225" spans="1:19" s="4" customFormat="1">
      <c r="A225" s="78" t="s">
        <v>38</v>
      </c>
      <c r="B225" s="78" t="s">
        <v>39</v>
      </c>
      <c r="C225" s="103" t="s">
        <v>154</v>
      </c>
      <c r="D225" s="104">
        <f>18*30</f>
        <v>540</v>
      </c>
      <c r="E225" s="26">
        <v>0.05</v>
      </c>
      <c r="F225" s="79">
        <f t="shared" si="135"/>
        <v>567</v>
      </c>
      <c r="G225" s="90" t="s">
        <v>49</v>
      </c>
      <c r="H225" s="80">
        <v>0.41</v>
      </c>
      <c r="I225" s="80">
        <f t="shared" si="136"/>
        <v>232.47</v>
      </c>
      <c r="J225" s="80">
        <v>0.8</v>
      </c>
      <c r="K225" s="80">
        <f t="shared" si="137"/>
        <v>453.6</v>
      </c>
      <c r="L225" s="27">
        <f t="shared" si="138"/>
        <v>1.21</v>
      </c>
      <c r="M225" s="81">
        <f t="shared" si="139"/>
        <v>686.06999999999994</v>
      </c>
      <c r="N225" s="82"/>
      <c r="O225" s="3"/>
      <c r="P225" s="3"/>
      <c r="S225" s="35"/>
    </row>
    <row r="226" spans="1:19" s="4" customFormat="1">
      <c r="A226" s="78" t="s">
        <v>38</v>
      </c>
      <c r="B226" s="78" t="s">
        <v>39</v>
      </c>
      <c r="C226" s="103" t="s">
        <v>155</v>
      </c>
      <c r="D226" s="104">
        <f>18*30</f>
        <v>540</v>
      </c>
      <c r="E226" s="26">
        <v>0.05</v>
      </c>
      <c r="F226" s="79">
        <f t="shared" ref="F226" si="140">D226*(1+E226)</f>
        <v>567</v>
      </c>
      <c r="G226" s="90" t="s">
        <v>49</v>
      </c>
      <c r="H226" s="80">
        <v>0.55000000000000004</v>
      </c>
      <c r="I226" s="80">
        <f t="shared" ref="I226" si="141">H226*F226</f>
        <v>311.85000000000002</v>
      </c>
      <c r="J226" s="80">
        <v>0.5</v>
      </c>
      <c r="K226" s="80">
        <f t="shared" ref="K226" si="142">J226*F226</f>
        <v>283.5</v>
      </c>
      <c r="L226" s="27">
        <f t="shared" ref="L226" si="143">(H226+J226)</f>
        <v>1.05</v>
      </c>
      <c r="M226" s="81">
        <f t="shared" ref="M226" si="144">L226*F226</f>
        <v>595.35</v>
      </c>
      <c r="N226" s="82"/>
      <c r="O226" s="3"/>
      <c r="P226" s="3"/>
      <c r="S226" s="35"/>
    </row>
    <row r="227" spans="1:19" s="4" customFormat="1" ht="15.75" customHeight="1">
      <c r="A227" s="78"/>
      <c r="B227" s="78"/>
      <c r="C227" s="100"/>
      <c r="D227" s="104"/>
      <c r="E227" s="26"/>
      <c r="F227" s="79"/>
      <c r="G227" s="90"/>
      <c r="H227" s="80"/>
      <c r="I227" s="80"/>
      <c r="J227" s="80"/>
      <c r="K227" s="80"/>
      <c r="L227" s="27"/>
      <c r="M227" s="81"/>
      <c r="N227" s="82"/>
      <c r="O227" s="3"/>
      <c r="P227" s="3"/>
      <c r="S227" s="35"/>
    </row>
    <row r="228" spans="1:19" s="4" customFormat="1" ht="15.75" customHeight="1">
      <c r="A228" s="78"/>
      <c r="B228" s="78"/>
      <c r="C228" s="106" t="s">
        <v>156</v>
      </c>
      <c r="D228" s="104">
        <v>43.67</v>
      </c>
      <c r="E228" s="26"/>
      <c r="F228" s="79"/>
      <c r="G228" s="90"/>
      <c r="H228" s="80"/>
      <c r="I228" s="80"/>
      <c r="J228" s="80"/>
      <c r="K228" s="80"/>
      <c r="L228" s="27"/>
      <c r="M228" s="81"/>
      <c r="N228" s="82"/>
      <c r="O228" s="3"/>
      <c r="P228" s="3"/>
      <c r="S228" s="35"/>
    </row>
    <row r="229" spans="1:19" s="4" customFormat="1" ht="15.75" customHeight="1">
      <c r="A229" s="78" t="s">
        <v>38</v>
      </c>
      <c r="B229" s="78" t="s">
        <v>39</v>
      </c>
      <c r="C229" s="100" t="s">
        <v>143</v>
      </c>
      <c r="D229" s="104">
        <f>D228*30</f>
        <v>1310.1000000000001</v>
      </c>
      <c r="E229" s="26">
        <v>0.05</v>
      </c>
      <c r="F229" s="79">
        <f t="shared" ref="F229:F234" si="145">D229*(1+E229)</f>
        <v>1375.6050000000002</v>
      </c>
      <c r="G229" s="90" t="s">
        <v>49</v>
      </c>
      <c r="H229" s="80">
        <v>1.5</v>
      </c>
      <c r="I229" s="80">
        <f t="shared" ref="I229:I234" si="146">H229*F229</f>
        <v>2063.4075000000003</v>
      </c>
      <c r="J229" s="80">
        <v>1.1499999999999999</v>
      </c>
      <c r="K229" s="80">
        <f t="shared" ref="K229:K234" si="147">J229*F229</f>
        <v>1581.9457500000001</v>
      </c>
      <c r="L229" s="27">
        <f t="shared" ref="L229:L234" si="148">(H229+J229)</f>
        <v>2.65</v>
      </c>
      <c r="M229" s="81">
        <f t="shared" ref="M229:M234" si="149">L229*F229</f>
        <v>3645.3532500000006</v>
      </c>
      <c r="N229" s="82"/>
      <c r="O229" s="3"/>
      <c r="P229" s="3"/>
      <c r="S229" s="35"/>
    </row>
    <row r="230" spans="1:19" s="4" customFormat="1" ht="15.75" customHeight="1">
      <c r="A230" s="78" t="s">
        <v>38</v>
      </c>
      <c r="B230" s="78" t="s">
        <v>39</v>
      </c>
      <c r="C230" s="100" t="s">
        <v>144</v>
      </c>
      <c r="D230" s="104">
        <f>D228*2</f>
        <v>87.34</v>
      </c>
      <c r="E230" s="26">
        <v>0.05</v>
      </c>
      <c r="F230" s="79">
        <f t="shared" si="145"/>
        <v>91.707000000000008</v>
      </c>
      <c r="G230" s="90" t="s">
        <v>47</v>
      </c>
      <c r="H230" s="80">
        <v>1.1000000000000001</v>
      </c>
      <c r="I230" s="80">
        <f t="shared" si="146"/>
        <v>100.87770000000002</v>
      </c>
      <c r="J230" s="80">
        <v>0.95</v>
      </c>
      <c r="K230" s="80">
        <f t="shared" si="147"/>
        <v>87.121650000000002</v>
      </c>
      <c r="L230" s="27">
        <f t="shared" si="148"/>
        <v>2.0499999999999998</v>
      </c>
      <c r="M230" s="81">
        <f t="shared" si="149"/>
        <v>187.99934999999999</v>
      </c>
      <c r="N230" s="82"/>
      <c r="O230" s="3"/>
      <c r="P230" s="3"/>
      <c r="S230" s="35"/>
    </row>
    <row r="231" spans="1:19" s="4" customFormat="1" ht="15.75" customHeight="1">
      <c r="A231" s="78" t="s">
        <v>38</v>
      </c>
      <c r="B231" s="78" t="s">
        <v>39</v>
      </c>
      <c r="C231" s="100" t="s">
        <v>138</v>
      </c>
      <c r="D231" s="104">
        <f>44*30/32</f>
        <v>41.25</v>
      </c>
      <c r="E231" s="26">
        <v>0.05</v>
      </c>
      <c r="F231" s="79">
        <f t="shared" si="145"/>
        <v>43.3125</v>
      </c>
      <c r="G231" s="90" t="s">
        <v>41</v>
      </c>
      <c r="H231" s="80">
        <f>0.22*32</f>
        <v>7.04</v>
      </c>
      <c r="I231" s="80">
        <f t="shared" si="146"/>
        <v>304.92</v>
      </c>
      <c r="J231" s="80">
        <f>0.34*32</f>
        <v>10.88</v>
      </c>
      <c r="K231" s="80">
        <f t="shared" si="147"/>
        <v>471.24</v>
      </c>
      <c r="L231" s="27">
        <f t="shared" si="148"/>
        <v>17.920000000000002</v>
      </c>
      <c r="M231" s="81">
        <f t="shared" si="149"/>
        <v>776.16000000000008</v>
      </c>
      <c r="N231" s="82"/>
      <c r="O231" s="3"/>
      <c r="P231" s="3"/>
      <c r="S231" s="35"/>
    </row>
    <row r="232" spans="1:19" s="4" customFormat="1" ht="15.75" customHeight="1">
      <c r="A232" s="78" t="s">
        <v>38</v>
      </c>
      <c r="B232" s="78" t="s">
        <v>39</v>
      </c>
      <c r="C232" s="100" t="s">
        <v>131</v>
      </c>
      <c r="D232" s="104">
        <f>44*2</f>
        <v>88</v>
      </c>
      <c r="E232" s="26">
        <v>0.05</v>
      </c>
      <c r="F232" s="79">
        <f t="shared" si="145"/>
        <v>92.4</v>
      </c>
      <c r="G232" s="90" t="s">
        <v>47</v>
      </c>
      <c r="H232" s="80">
        <v>7.0000000000000007E-2</v>
      </c>
      <c r="I232" s="80">
        <f t="shared" si="146"/>
        <v>6.4680000000000009</v>
      </c>
      <c r="J232" s="80">
        <v>0.1</v>
      </c>
      <c r="K232" s="80">
        <f t="shared" si="147"/>
        <v>9.24</v>
      </c>
      <c r="L232" s="27">
        <f t="shared" si="148"/>
        <v>0.17</v>
      </c>
      <c r="M232" s="81">
        <f t="shared" si="149"/>
        <v>15.708000000000002</v>
      </c>
      <c r="N232" s="82"/>
      <c r="O232" s="3"/>
      <c r="P232" s="3"/>
      <c r="S232" s="35"/>
    </row>
    <row r="233" spans="1:19" s="4" customFormat="1">
      <c r="A233" s="78" t="s">
        <v>38</v>
      </c>
      <c r="B233" s="78" t="s">
        <v>39</v>
      </c>
      <c r="C233" s="103" t="s">
        <v>154</v>
      </c>
      <c r="D233" s="104">
        <f>44*30</f>
        <v>1320</v>
      </c>
      <c r="E233" s="26">
        <v>0.05</v>
      </c>
      <c r="F233" s="79">
        <f t="shared" si="145"/>
        <v>1386</v>
      </c>
      <c r="G233" s="90" t="s">
        <v>49</v>
      </c>
      <c r="H233" s="80">
        <v>0.41</v>
      </c>
      <c r="I233" s="80">
        <f t="shared" si="146"/>
        <v>568.26</v>
      </c>
      <c r="J233" s="80">
        <v>0.8</v>
      </c>
      <c r="K233" s="80">
        <f t="shared" si="147"/>
        <v>1108.8</v>
      </c>
      <c r="L233" s="27">
        <f t="shared" si="148"/>
        <v>1.21</v>
      </c>
      <c r="M233" s="81">
        <f t="shared" si="149"/>
        <v>1677.06</v>
      </c>
      <c r="N233" s="82"/>
      <c r="O233" s="3"/>
      <c r="P233" s="3"/>
      <c r="S233" s="35"/>
    </row>
    <row r="234" spans="1:19" s="4" customFormat="1">
      <c r="A234" s="78" t="s">
        <v>38</v>
      </c>
      <c r="B234" s="78" t="s">
        <v>39</v>
      </c>
      <c r="C234" s="103" t="s">
        <v>155</v>
      </c>
      <c r="D234" s="104">
        <f>44*30</f>
        <v>1320</v>
      </c>
      <c r="E234" s="26">
        <v>0.05</v>
      </c>
      <c r="F234" s="79">
        <f t="shared" si="145"/>
        <v>1386</v>
      </c>
      <c r="G234" s="90" t="s">
        <v>49</v>
      </c>
      <c r="H234" s="80">
        <v>0.55000000000000004</v>
      </c>
      <c r="I234" s="80">
        <f t="shared" si="146"/>
        <v>762.30000000000007</v>
      </c>
      <c r="J234" s="80">
        <v>0.5</v>
      </c>
      <c r="K234" s="80">
        <f t="shared" si="147"/>
        <v>693</v>
      </c>
      <c r="L234" s="27">
        <f t="shared" si="148"/>
        <v>1.05</v>
      </c>
      <c r="M234" s="81">
        <f t="shared" si="149"/>
        <v>1455.3</v>
      </c>
      <c r="N234" s="82"/>
      <c r="O234" s="3"/>
      <c r="P234" s="3"/>
      <c r="S234" s="35"/>
    </row>
    <row r="235" spans="1:19" s="4" customFormat="1" ht="15.75" customHeight="1">
      <c r="A235" s="78"/>
      <c r="B235" s="78"/>
      <c r="C235" s="100"/>
      <c r="D235" s="104"/>
      <c r="E235" s="26"/>
      <c r="F235" s="79"/>
      <c r="G235" s="90"/>
      <c r="H235" s="80"/>
      <c r="I235" s="80"/>
      <c r="J235" s="80"/>
      <c r="K235" s="80"/>
      <c r="L235" s="27"/>
      <c r="M235" s="81"/>
      <c r="N235" s="82"/>
      <c r="O235" s="3"/>
      <c r="P235" s="3"/>
      <c r="S235" s="35"/>
    </row>
    <row r="236" spans="1:19" s="4" customFormat="1" ht="15.75" customHeight="1">
      <c r="A236" s="78"/>
      <c r="B236" s="78"/>
      <c r="C236" s="106" t="s">
        <v>157</v>
      </c>
      <c r="D236" s="104">
        <v>15.51</v>
      </c>
      <c r="E236" s="26"/>
      <c r="F236" s="79"/>
      <c r="G236" s="90"/>
      <c r="H236" s="80"/>
      <c r="I236" s="80"/>
      <c r="J236" s="80"/>
      <c r="K236" s="80"/>
      <c r="L236" s="27"/>
      <c r="M236" s="81"/>
      <c r="N236" s="82"/>
      <c r="O236" s="3"/>
      <c r="P236" s="3"/>
      <c r="S236" s="35"/>
    </row>
    <row r="237" spans="1:19" s="4" customFormat="1" ht="15.75" customHeight="1">
      <c r="A237" s="78" t="s">
        <v>38</v>
      </c>
      <c r="B237" s="78" t="s">
        <v>39</v>
      </c>
      <c r="C237" s="100" t="s">
        <v>128</v>
      </c>
      <c r="D237" s="104">
        <f>D236*10</f>
        <v>155.1</v>
      </c>
      <c r="E237" s="26">
        <v>0.05</v>
      </c>
      <c r="F237" s="79">
        <f t="shared" si="12"/>
        <v>162.85499999999999</v>
      </c>
      <c r="G237" s="90" t="s">
        <v>49</v>
      </c>
      <c r="H237" s="80">
        <v>1.5</v>
      </c>
      <c r="I237" s="80">
        <f t="shared" si="13"/>
        <v>244.28249999999997</v>
      </c>
      <c r="J237" s="80">
        <v>1.1499999999999999</v>
      </c>
      <c r="K237" s="80">
        <f t="shared" si="14"/>
        <v>187.28324999999998</v>
      </c>
      <c r="L237" s="27">
        <f t="shared" si="15"/>
        <v>2.65</v>
      </c>
      <c r="M237" s="81">
        <f t="shared" si="16"/>
        <v>431.56574999999998</v>
      </c>
      <c r="N237" s="82"/>
      <c r="O237" s="3"/>
      <c r="P237" s="3"/>
      <c r="S237" s="35"/>
    </row>
    <row r="238" spans="1:19" s="4" customFormat="1" ht="15.75" customHeight="1">
      <c r="A238" s="78" t="s">
        <v>38</v>
      </c>
      <c r="B238" s="78" t="s">
        <v>39</v>
      </c>
      <c r="C238" s="100" t="s">
        <v>129</v>
      </c>
      <c r="D238" s="104">
        <f>D236*2</f>
        <v>31.02</v>
      </c>
      <c r="E238" s="26">
        <v>0.05</v>
      </c>
      <c r="F238" s="79">
        <f t="shared" si="12"/>
        <v>32.570999999999998</v>
      </c>
      <c r="G238" s="90" t="s">
        <v>47</v>
      </c>
      <c r="H238" s="80">
        <v>1.1000000000000001</v>
      </c>
      <c r="I238" s="80">
        <f t="shared" si="13"/>
        <v>35.828099999999999</v>
      </c>
      <c r="J238" s="80">
        <v>0.95</v>
      </c>
      <c r="K238" s="80">
        <f t="shared" si="14"/>
        <v>30.942449999999997</v>
      </c>
      <c r="L238" s="27">
        <f t="shared" si="15"/>
        <v>2.0499999999999998</v>
      </c>
      <c r="M238" s="81">
        <f t="shared" si="16"/>
        <v>66.770549999999986</v>
      </c>
      <c r="N238" s="82"/>
      <c r="O238" s="3"/>
      <c r="P238" s="3"/>
      <c r="S238" s="35"/>
    </row>
    <row r="239" spans="1:19" s="4" customFormat="1" ht="15.75" customHeight="1">
      <c r="A239" s="78" t="s">
        <v>38</v>
      </c>
      <c r="B239" s="78" t="s">
        <v>39</v>
      </c>
      <c r="C239" s="100" t="s">
        <v>138</v>
      </c>
      <c r="D239" s="104">
        <f>16*10.5/32</f>
        <v>5.25</v>
      </c>
      <c r="E239" s="26">
        <v>0.05</v>
      </c>
      <c r="F239" s="79">
        <f t="shared" si="12"/>
        <v>5.5125000000000002</v>
      </c>
      <c r="G239" s="90" t="s">
        <v>41</v>
      </c>
      <c r="H239" s="80">
        <f>0.22*32</f>
        <v>7.04</v>
      </c>
      <c r="I239" s="80">
        <f t="shared" si="13"/>
        <v>38.808</v>
      </c>
      <c r="J239" s="80">
        <f>0.34*32</f>
        <v>10.88</v>
      </c>
      <c r="K239" s="80">
        <f t="shared" si="14"/>
        <v>59.976000000000006</v>
      </c>
      <c r="L239" s="27">
        <f t="shared" si="15"/>
        <v>17.920000000000002</v>
      </c>
      <c r="M239" s="81">
        <f t="shared" si="16"/>
        <v>98.784000000000006</v>
      </c>
      <c r="N239" s="82"/>
      <c r="O239" s="3"/>
      <c r="P239" s="3"/>
      <c r="S239" s="35"/>
    </row>
    <row r="240" spans="1:19" s="4" customFormat="1" ht="15.75" customHeight="1">
      <c r="A240" s="78" t="s">
        <v>38</v>
      </c>
      <c r="B240" s="78" t="s">
        <v>39</v>
      </c>
      <c r="C240" s="100" t="s">
        <v>131</v>
      </c>
      <c r="D240" s="104">
        <f>16*2</f>
        <v>32</v>
      </c>
      <c r="E240" s="26">
        <v>0.05</v>
      </c>
      <c r="F240" s="79">
        <f t="shared" si="12"/>
        <v>33.6</v>
      </c>
      <c r="G240" s="90" t="s">
        <v>47</v>
      </c>
      <c r="H240" s="80">
        <v>7.0000000000000007E-2</v>
      </c>
      <c r="I240" s="80">
        <f t="shared" si="13"/>
        <v>2.3520000000000003</v>
      </c>
      <c r="J240" s="80">
        <v>0.1</v>
      </c>
      <c r="K240" s="80">
        <f t="shared" si="14"/>
        <v>3.3600000000000003</v>
      </c>
      <c r="L240" s="27">
        <f t="shared" si="15"/>
        <v>0.17</v>
      </c>
      <c r="M240" s="81">
        <f t="shared" si="16"/>
        <v>5.7120000000000006</v>
      </c>
      <c r="N240" s="82"/>
      <c r="O240" s="3"/>
      <c r="P240" s="3"/>
      <c r="S240" s="35"/>
    </row>
    <row r="241" spans="1:19" s="4" customFormat="1" ht="15.75" customHeight="1">
      <c r="A241" s="78"/>
      <c r="B241" s="78"/>
      <c r="C241" s="100"/>
      <c r="D241" s="104"/>
      <c r="E241" s="26"/>
      <c r="F241" s="79"/>
      <c r="G241" s="90"/>
      <c r="H241" s="80"/>
      <c r="I241" s="80"/>
      <c r="J241" s="80"/>
      <c r="K241" s="80"/>
      <c r="L241" s="27"/>
      <c r="M241" s="81"/>
      <c r="N241" s="82"/>
      <c r="O241" s="3"/>
      <c r="P241" s="3"/>
      <c r="S241" s="35"/>
    </row>
    <row r="242" spans="1:19" s="4" customFormat="1" ht="15.75" customHeight="1">
      <c r="A242" s="78"/>
      <c r="B242" s="78"/>
      <c r="C242" s="100"/>
      <c r="D242" s="104"/>
      <c r="E242" s="26"/>
      <c r="F242" s="79"/>
      <c r="G242" s="90"/>
      <c r="H242" s="80"/>
      <c r="I242" s="80"/>
      <c r="J242" s="80"/>
      <c r="K242" s="80"/>
      <c r="L242" s="27"/>
      <c r="M242" s="81"/>
      <c r="N242" s="82"/>
      <c r="O242" s="3"/>
      <c r="P242" s="3"/>
      <c r="S242" s="35"/>
    </row>
    <row r="243" spans="1:19" s="4" customFormat="1" ht="15.75" customHeight="1">
      <c r="A243" s="78"/>
      <c r="B243" s="78"/>
      <c r="C243" s="106" t="s">
        <v>158</v>
      </c>
      <c r="D243" s="104">
        <v>54.1</v>
      </c>
      <c r="E243" s="26"/>
      <c r="F243" s="79"/>
      <c r="G243" s="90"/>
      <c r="H243" s="80"/>
      <c r="I243" s="80"/>
      <c r="J243" s="80"/>
      <c r="K243" s="80"/>
      <c r="L243" s="27"/>
      <c r="M243" s="81"/>
      <c r="N243" s="82"/>
      <c r="O243" s="3"/>
      <c r="P243" s="3"/>
      <c r="S243" s="35"/>
    </row>
    <row r="244" spans="1:19" s="4" customFormat="1" ht="15.75" customHeight="1">
      <c r="A244" s="78" t="s">
        <v>38</v>
      </c>
      <c r="B244" s="78" t="s">
        <v>39</v>
      </c>
      <c r="C244" s="100" t="s">
        <v>159</v>
      </c>
      <c r="D244" s="104">
        <f>54*10.5</f>
        <v>567</v>
      </c>
      <c r="E244" s="26">
        <v>0.05</v>
      </c>
      <c r="F244" s="79">
        <f t="shared" ref="F244" si="150">D244*(1+E244)</f>
        <v>595.35</v>
      </c>
      <c r="G244" s="90" t="s">
        <v>49</v>
      </c>
      <c r="H244" s="80">
        <v>1.5</v>
      </c>
      <c r="I244" s="80">
        <f t="shared" ref="I244" si="151">H244*F244</f>
        <v>893.02500000000009</v>
      </c>
      <c r="J244" s="80">
        <v>1.1499999999999999</v>
      </c>
      <c r="K244" s="80">
        <f t="shared" ref="K244" si="152">J244*F244</f>
        <v>684.65249999999992</v>
      </c>
      <c r="L244" s="27">
        <f t="shared" ref="L244" si="153">(H244+J244)</f>
        <v>2.65</v>
      </c>
      <c r="M244" s="81">
        <f t="shared" ref="M244" si="154">L244*F244</f>
        <v>1577.6775</v>
      </c>
      <c r="N244" s="82"/>
      <c r="O244" s="3"/>
      <c r="P244" s="3"/>
      <c r="S244" s="35"/>
    </row>
    <row r="245" spans="1:19" s="4" customFormat="1" ht="15.75" customHeight="1">
      <c r="A245" s="78" t="s">
        <v>38</v>
      </c>
      <c r="B245" s="78" t="s">
        <v>39</v>
      </c>
      <c r="C245" s="100" t="s">
        <v>129</v>
      </c>
      <c r="D245" s="104">
        <f>54*2</f>
        <v>108</v>
      </c>
      <c r="E245" s="26">
        <v>0.05</v>
      </c>
      <c r="F245" s="79">
        <f t="shared" ref="F245:F247" si="155">D245*(1+E245)</f>
        <v>113.4</v>
      </c>
      <c r="G245" s="90" t="s">
        <v>47</v>
      </c>
      <c r="H245" s="80">
        <v>1.1000000000000001</v>
      </c>
      <c r="I245" s="80">
        <f t="shared" ref="I245:I247" si="156">H245*F245</f>
        <v>124.74000000000002</v>
      </c>
      <c r="J245" s="80">
        <v>0.95</v>
      </c>
      <c r="K245" s="80">
        <f t="shared" ref="K245:K247" si="157">J245*F245</f>
        <v>107.73</v>
      </c>
      <c r="L245" s="27">
        <f t="shared" ref="L245:L247" si="158">(H245+J245)</f>
        <v>2.0499999999999998</v>
      </c>
      <c r="M245" s="81">
        <f t="shared" ref="M245:M247" si="159">L245*F245</f>
        <v>232.47</v>
      </c>
      <c r="N245" s="82"/>
      <c r="O245" s="3"/>
      <c r="P245" s="3"/>
      <c r="S245" s="35"/>
    </row>
    <row r="246" spans="1:19" s="4" customFormat="1" ht="15.75" customHeight="1">
      <c r="A246" s="78" t="s">
        <v>38</v>
      </c>
      <c r="B246" s="78" t="s">
        <v>39</v>
      </c>
      <c r="C246" s="100" t="s">
        <v>138</v>
      </c>
      <c r="D246" s="104">
        <f>54*10.5*2/32</f>
        <v>35.4375</v>
      </c>
      <c r="E246" s="26">
        <v>0.05</v>
      </c>
      <c r="F246" s="79">
        <f t="shared" si="155"/>
        <v>37.209375000000001</v>
      </c>
      <c r="G246" s="90" t="s">
        <v>41</v>
      </c>
      <c r="H246" s="80">
        <f>0.22*32</f>
        <v>7.04</v>
      </c>
      <c r="I246" s="80">
        <f t="shared" si="156"/>
        <v>261.95400000000001</v>
      </c>
      <c r="J246" s="80">
        <f>0.34*32</f>
        <v>10.88</v>
      </c>
      <c r="K246" s="80">
        <f t="shared" si="157"/>
        <v>404.83800000000002</v>
      </c>
      <c r="L246" s="27">
        <f t="shared" si="158"/>
        <v>17.920000000000002</v>
      </c>
      <c r="M246" s="81">
        <f t="shared" si="159"/>
        <v>666.79200000000014</v>
      </c>
      <c r="N246" s="82"/>
      <c r="O246" s="3"/>
      <c r="P246" s="3"/>
      <c r="S246" s="35"/>
    </row>
    <row r="247" spans="1:19" s="4" customFormat="1" ht="15.75" customHeight="1">
      <c r="A247" s="78" t="s">
        <v>38</v>
      </c>
      <c r="B247" s="78" t="s">
        <v>39</v>
      </c>
      <c r="C247" s="100" t="s">
        <v>131</v>
      </c>
      <c r="D247" s="104">
        <f>54*4</f>
        <v>216</v>
      </c>
      <c r="E247" s="26">
        <v>0.05</v>
      </c>
      <c r="F247" s="79">
        <f t="shared" si="155"/>
        <v>226.8</v>
      </c>
      <c r="G247" s="90" t="s">
        <v>47</v>
      </c>
      <c r="H247" s="80">
        <v>7.0000000000000007E-2</v>
      </c>
      <c r="I247" s="80">
        <f t="shared" si="156"/>
        <v>15.876000000000003</v>
      </c>
      <c r="J247" s="80">
        <v>0.1</v>
      </c>
      <c r="K247" s="80">
        <f t="shared" si="157"/>
        <v>22.680000000000003</v>
      </c>
      <c r="L247" s="27">
        <f t="shared" si="158"/>
        <v>0.17</v>
      </c>
      <c r="M247" s="81">
        <f t="shared" si="159"/>
        <v>38.556000000000004</v>
      </c>
      <c r="N247" s="82"/>
      <c r="O247" s="3"/>
      <c r="P247" s="3"/>
      <c r="S247" s="35"/>
    </row>
    <row r="248" spans="1:19" s="4" customFormat="1" ht="15.75" customHeight="1">
      <c r="A248" s="78" t="s">
        <v>38</v>
      </c>
      <c r="B248" s="78" t="s">
        <v>39</v>
      </c>
      <c r="C248" s="100" t="s">
        <v>160</v>
      </c>
      <c r="D248" s="104">
        <f>54*8</f>
        <v>432</v>
      </c>
      <c r="E248" s="26">
        <v>0.05</v>
      </c>
      <c r="F248" s="79">
        <f t="shared" ref="F248" si="160">D248*(1+E248)</f>
        <v>453.6</v>
      </c>
      <c r="G248" s="90" t="s">
        <v>49</v>
      </c>
      <c r="H248" s="80">
        <v>0.41</v>
      </c>
      <c r="I248" s="80">
        <f t="shared" ref="I248" si="161">H248*F248</f>
        <v>185.976</v>
      </c>
      <c r="J248" s="80">
        <v>0.8</v>
      </c>
      <c r="K248" s="80">
        <f t="shared" ref="K248" si="162">J248*F248</f>
        <v>362.88000000000005</v>
      </c>
      <c r="L248" s="27">
        <f t="shared" ref="L248" si="163">(H248+J248)</f>
        <v>1.21</v>
      </c>
      <c r="M248" s="81">
        <f t="shared" ref="M248" si="164">L248*F248</f>
        <v>548.85599999999999</v>
      </c>
      <c r="N248" s="82"/>
      <c r="O248" s="3"/>
      <c r="P248" s="3"/>
      <c r="S248" s="35"/>
    </row>
    <row r="249" spans="1:19" s="4" customFormat="1" ht="15.75" customHeight="1">
      <c r="A249" s="78" t="s">
        <v>38</v>
      </c>
      <c r="B249" s="78" t="s">
        <v>39</v>
      </c>
      <c r="C249" s="100" t="s">
        <v>155</v>
      </c>
      <c r="D249" s="104">
        <f>54*10.5</f>
        <v>567</v>
      </c>
      <c r="E249" s="26">
        <v>0.05</v>
      </c>
      <c r="F249" s="79">
        <f t="shared" ref="F249" si="165">D249*(1+E249)</f>
        <v>595.35</v>
      </c>
      <c r="G249" s="90" t="s">
        <v>49</v>
      </c>
      <c r="H249" s="80">
        <v>0.55000000000000004</v>
      </c>
      <c r="I249" s="80">
        <f t="shared" ref="I249" si="166">H249*F249</f>
        <v>327.44250000000005</v>
      </c>
      <c r="J249" s="80">
        <v>0.5</v>
      </c>
      <c r="K249" s="80">
        <f t="shared" ref="K249" si="167">J249*F249</f>
        <v>297.67500000000001</v>
      </c>
      <c r="L249" s="27">
        <f t="shared" ref="L249" si="168">(H249+J249)</f>
        <v>1.05</v>
      </c>
      <c r="M249" s="81">
        <f t="shared" ref="M249" si="169">L249*F249</f>
        <v>625.11750000000006</v>
      </c>
      <c r="N249" s="82"/>
      <c r="O249" s="3"/>
      <c r="P249" s="3"/>
      <c r="S249" s="35"/>
    </row>
    <row r="250" spans="1:19" s="4" customFormat="1" ht="15.75" customHeight="1">
      <c r="A250" s="78"/>
      <c r="B250" s="78"/>
      <c r="C250" s="100"/>
      <c r="D250" s="104"/>
      <c r="E250" s="26"/>
      <c r="F250" s="79"/>
      <c r="G250" s="90"/>
      <c r="H250" s="80"/>
      <c r="I250" s="80"/>
      <c r="J250" s="80"/>
      <c r="K250" s="80"/>
      <c r="L250" s="27"/>
      <c r="M250" s="81"/>
      <c r="N250" s="82"/>
      <c r="O250" s="3"/>
      <c r="P250" s="3"/>
      <c r="S250" s="35"/>
    </row>
    <row r="251" spans="1:19" s="4" customFormat="1" ht="15.75" customHeight="1">
      <c r="A251" s="78"/>
      <c r="B251" s="78"/>
      <c r="C251" s="106" t="s">
        <v>161</v>
      </c>
      <c r="D251" s="104">
        <v>22.49</v>
      </c>
      <c r="E251" s="26"/>
      <c r="F251" s="79"/>
      <c r="G251" s="90"/>
      <c r="H251" s="80"/>
      <c r="I251" s="80"/>
      <c r="J251" s="80"/>
      <c r="K251" s="80"/>
      <c r="L251" s="27"/>
      <c r="M251" s="81"/>
      <c r="N251" s="82"/>
      <c r="O251" s="3"/>
      <c r="P251" s="3"/>
      <c r="S251" s="35"/>
    </row>
    <row r="252" spans="1:19" s="4" customFormat="1" ht="15.75" customHeight="1">
      <c r="A252" s="78" t="s">
        <v>38</v>
      </c>
      <c r="B252" s="78" t="s">
        <v>39</v>
      </c>
      <c r="C252" s="100" t="s">
        <v>128</v>
      </c>
      <c r="D252" s="104">
        <f>D251*10</f>
        <v>224.89999999999998</v>
      </c>
      <c r="E252" s="26">
        <v>0.05</v>
      </c>
      <c r="F252" s="79">
        <f t="shared" ref="F252:F256" si="170">D252*(1+E252)</f>
        <v>236.14499999999998</v>
      </c>
      <c r="G252" s="90" t="s">
        <v>49</v>
      </c>
      <c r="H252" s="80">
        <v>1.5</v>
      </c>
      <c r="I252" s="80">
        <f t="shared" ref="I252:I256" si="171">H252*F252</f>
        <v>354.21749999999997</v>
      </c>
      <c r="J252" s="80">
        <v>1.1499999999999999</v>
      </c>
      <c r="K252" s="80">
        <f t="shared" ref="K252:K256" si="172">J252*F252</f>
        <v>271.56674999999996</v>
      </c>
      <c r="L252" s="27">
        <f t="shared" ref="L252:L256" si="173">(H252+J252)</f>
        <v>2.65</v>
      </c>
      <c r="M252" s="81">
        <f t="shared" ref="M252:M256" si="174">L252*F252</f>
        <v>625.78424999999993</v>
      </c>
      <c r="N252" s="82"/>
      <c r="O252" s="3"/>
      <c r="P252" s="3"/>
      <c r="S252" s="35"/>
    </row>
    <row r="253" spans="1:19" s="4" customFormat="1" ht="15.75" customHeight="1">
      <c r="A253" s="78" t="s">
        <v>38</v>
      </c>
      <c r="B253" s="78" t="s">
        <v>39</v>
      </c>
      <c r="C253" s="100" t="s">
        <v>129</v>
      </c>
      <c r="D253" s="104">
        <f>D251*2</f>
        <v>44.98</v>
      </c>
      <c r="E253" s="26">
        <v>0.05</v>
      </c>
      <c r="F253" s="79">
        <f t="shared" si="170"/>
        <v>47.228999999999999</v>
      </c>
      <c r="G253" s="90" t="s">
        <v>47</v>
      </c>
      <c r="H253" s="80">
        <v>1.1000000000000001</v>
      </c>
      <c r="I253" s="80">
        <f t="shared" si="171"/>
        <v>51.951900000000002</v>
      </c>
      <c r="J253" s="80">
        <v>0.95</v>
      </c>
      <c r="K253" s="80">
        <f t="shared" si="172"/>
        <v>44.867549999999994</v>
      </c>
      <c r="L253" s="27">
        <f t="shared" si="173"/>
        <v>2.0499999999999998</v>
      </c>
      <c r="M253" s="81">
        <f t="shared" si="174"/>
        <v>96.819449999999989</v>
      </c>
      <c r="N253" s="82"/>
      <c r="O253" s="3"/>
      <c r="P253" s="3"/>
      <c r="S253" s="35"/>
    </row>
    <row r="254" spans="1:19" s="4" customFormat="1" ht="15.75" customHeight="1">
      <c r="A254" s="78" t="s">
        <v>38</v>
      </c>
      <c r="B254" s="78" t="s">
        <v>39</v>
      </c>
      <c r="C254" s="100" t="s">
        <v>138</v>
      </c>
      <c r="D254" s="104">
        <f>22*10.5/32</f>
        <v>7.21875</v>
      </c>
      <c r="E254" s="26">
        <v>0.05</v>
      </c>
      <c r="F254" s="79">
        <f t="shared" si="170"/>
        <v>7.5796875000000004</v>
      </c>
      <c r="G254" s="90" t="s">
        <v>41</v>
      </c>
      <c r="H254" s="80">
        <f>0.22*32</f>
        <v>7.04</v>
      </c>
      <c r="I254" s="80">
        <f t="shared" si="171"/>
        <v>53.361000000000004</v>
      </c>
      <c r="J254" s="80">
        <f>0.34*32</f>
        <v>10.88</v>
      </c>
      <c r="K254" s="80">
        <f t="shared" si="172"/>
        <v>82.467000000000013</v>
      </c>
      <c r="L254" s="27">
        <f t="shared" si="173"/>
        <v>17.920000000000002</v>
      </c>
      <c r="M254" s="81">
        <f t="shared" si="174"/>
        <v>135.82800000000003</v>
      </c>
      <c r="N254" s="82"/>
      <c r="O254" s="3"/>
      <c r="P254" s="3"/>
      <c r="S254" s="35"/>
    </row>
    <row r="255" spans="1:19" s="4" customFormat="1" ht="15.75" customHeight="1">
      <c r="A255" s="78" t="s">
        <v>38</v>
      </c>
      <c r="B255" s="78" t="s">
        <v>39</v>
      </c>
      <c r="C255" s="100" t="s">
        <v>131</v>
      </c>
      <c r="D255" s="104">
        <f>22*2</f>
        <v>44</v>
      </c>
      <c r="E255" s="26">
        <v>0.05</v>
      </c>
      <c r="F255" s="79">
        <f t="shared" si="170"/>
        <v>46.2</v>
      </c>
      <c r="G255" s="90" t="s">
        <v>47</v>
      </c>
      <c r="H255" s="80">
        <v>7.0000000000000007E-2</v>
      </c>
      <c r="I255" s="80">
        <f t="shared" si="171"/>
        <v>3.2340000000000004</v>
      </c>
      <c r="J255" s="80">
        <v>0.1</v>
      </c>
      <c r="K255" s="80">
        <f t="shared" si="172"/>
        <v>4.62</v>
      </c>
      <c r="L255" s="27">
        <f t="shared" si="173"/>
        <v>0.17</v>
      </c>
      <c r="M255" s="81">
        <f t="shared" si="174"/>
        <v>7.854000000000001</v>
      </c>
      <c r="N255" s="82"/>
      <c r="O255" s="3"/>
      <c r="P255" s="3"/>
      <c r="S255" s="35"/>
    </row>
    <row r="256" spans="1:19" s="4" customFormat="1" ht="15.75" customHeight="1">
      <c r="A256" s="78" t="s">
        <v>38</v>
      </c>
      <c r="B256" s="78" t="s">
        <v>39</v>
      </c>
      <c r="C256" s="100" t="s">
        <v>160</v>
      </c>
      <c r="D256" s="104">
        <f>22*8</f>
        <v>176</v>
      </c>
      <c r="E256" s="26">
        <v>0.05</v>
      </c>
      <c r="F256" s="79">
        <f t="shared" si="170"/>
        <v>184.8</v>
      </c>
      <c r="G256" s="90" t="s">
        <v>49</v>
      </c>
      <c r="H256" s="80">
        <v>0.41</v>
      </c>
      <c r="I256" s="80">
        <f t="shared" si="171"/>
        <v>75.768000000000001</v>
      </c>
      <c r="J256" s="80">
        <v>0.8</v>
      </c>
      <c r="K256" s="80">
        <f t="shared" si="172"/>
        <v>147.84</v>
      </c>
      <c r="L256" s="27">
        <f t="shared" si="173"/>
        <v>1.21</v>
      </c>
      <c r="M256" s="81">
        <f t="shared" si="174"/>
        <v>223.608</v>
      </c>
      <c r="N256" s="82"/>
      <c r="O256" s="3"/>
      <c r="P256" s="3"/>
      <c r="S256" s="35"/>
    </row>
    <row r="257" spans="1:19" s="4" customFormat="1" ht="15.75" customHeight="1">
      <c r="A257" s="78"/>
      <c r="B257" s="78"/>
      <c r="C257" s="100"/>
      <c r="D257" s="104"/>
      <c r="E257" s="26"/>
      <c r="F257" s="79"/>
      <c r="G257" s="90"/>
      <c r="H257" s="80"/>
      <c r="I257" s="80"/>
      <c r="J257" s="80"/>
      <c r="K257" s="80"/>
      <c r="L257" s="27"/>
      <c r="M257" s="81"/>
      <c r="N257" s="82"/>
      <c r="O257" s="3"/>
      <c r="P257" s="3"/>
      <c r="S257" s="35"/>
    </row>
    <row r="258" spans="1:19" s="4" customFormat="1" ht="15.75" customHeight="1">
      <c r="A258" s="78"/>
      <c r="B258" s="78"/>
      <c r="C258" s="106" t="s">
        <v>162</v>
      </c>
      <c r="D258" s="104">
        <v>40.22</v>
      </c>
      <c r="E258" s="26"/>
      <c r="F258" s="79"/>
      <c r="G258" s="90"/>
      <c r="H258" s="80"/>
      <c r="I258" s="80"/>
      <c r="J258" s="80"/>
      <c r="K258" s="80"/>
      <c r="L258" s="27"/>
      <c r="M258" s="81"/>
      <c r="N258" s="82"/>
      <c r="O258" s="3"/>
      <c r="P258" s="3"/>
      <c r="S258" s="35"/>
    </row>
    <row r="259" spans="1:19" s="4" customFormat="1" ht="15.75" customHeight="1">
      <c r="A259" s="78" t="s">
        <v>38</v>
      </c>
      <c r="B259" s="78" t="s">
        <v>39</v>
      </c>
      <c r="C259" s="100" t="s">
        <v>137</v>
      </c>
      <c r="D259" s="104">
        <f>D258*11.5</f>
        <v>462.53</v>
      </c>
      <c r="E259" s="26">
        <v>0.05</v>
      </c>
      <c r="F259" s="79">
        <f t="shared" ref="F259:F262" si="175">D259*(1+E259)</f>
        <v>485.65649999999999</v>
      </c>
      <c r="G259" s="90" t="s">
        <v>49</v>
      </c>
      <c r="H259" s="80">
        <v>1.5</v>
      </c>
      <c r="I259" s="80">
        <f t="shared" ref="I259:I262" si="176">H259*F259</f>
        <v>728.48474999999996</v>
      </c>
      <c r="J259" s="80">
        <v>1.1499999999999999</v>
      </c>
      <c r="K259" s="80">
        <f t="shared" ref="K259:K262" si="177">J259*F259</f>
        <v>558.50497499999994</v>
      </c>
      <c r="L259" s="27">
        <f t="shared" ref="L259:L262" si="178">(H259+J259)</f>
        <v>2.65</v>
      </c>
      <c r="M259" s="81">
        <f t="shared" ref="M259:M262" si="179">L259*F259</f>
        <v>1286.9897249999999</v>
      </c>
      <c r="N259" s="82"/>
      <c r="O259" s="3"/>
      <c r="P259" s="3"/>
      <c r="S259" s="35"/>
    </row>
    <row r="260" spans="1:19" s="4" customFormat="1" ht="15.75" customHeight="1">
      <c r="A260" s="78" t="s">
        <v>38</v>
      </c>
      <c r="B260" s="78" t="s">
        <v>39</v>
      </c>
      <c r="C260" s="100" t="s">
        <v>129</v>
      </c>
      <c r="D260" s="104">
        <f>D258*2</f>
        <v>80.44</v>
      </c>
      <c r="E260" s="26">
        <v>0.05</v>
      </c>
      <c r="F260" s="79">
        <f t="shared" si="175"/>
        <v>84.462000000000003</v>
      </c>
      <c r="G260" s="90" t="s">
        <v>47</v>
      </c>
      <c r="H260" s="80">
        <v>1.1000000000000001</v>
      </c>
      <c r="I260" s="80">
        <f t="shared" si="176"/>
        <v>92.908200000000008</v>
      </c>
      <c r="J260" s="80">
        <v>0.95</v>
      </c>
      <c r="K260" s="80">
        <f t="shared" si="177"/>
        <v>80.238900000000001</v>
      </c>
      <c r="L260" s="27">
        <f t="shared" si="178"/>
        <v>2.0499999999999998</v>
      </c>
      <c r="M260" s="81">
        <f t="shared" si="179"/>
        <v>173.14709999999999</v>
      </c>
      <c r="N260" s="82"/>
      <c r="O260" s="3"/>
      <c r="P260" s="3"/>
      <c r="S260" s="35"/>
    </row>
    <row r="261" spans="1:19" s="4" customFormat="1" ht="15.75" customHeight="1">
      <c r="A261" s="78" t="s">
        <v>38</v>
      </c>
      <c r="B261" s="78" t="s">
        <v>39</v>
      </c>
      <c r="C261" s="100" t="s">
        <v>138</v>
      </c>
      <c r="D261" s="104">
        <f>40*10.5/32</f>
        <v>13.125</v>
      </c>
      <c r="E261" s="26">
        <v>0.05</v>
      </c>
      <c r="F261" s="79">
        <f t="shared" si="175"/>
        <v>13.78125</v>
      </c>
      <c r="G261" s="90" t="s">
        <v>41</v>
      </c>
      <c r="H261" s="80">
        <f>0.22*32</f>
        <v>7.04</v>
      </c>
      <c r="I261" s="80">
        <f t="shared" si="176"/>
        <v>97.02</v>
      </c>
      <c r="J261" s="80">
        <f>0.34*32</f>
        <v>10.88</v>
      </c>
      <c r="K261" s="80">
        <f t="shared" si="177"/>
        <v>149.94</v>
      </c>
      <c r="L261" s="27">
        <f t="shared" si="178"/>
        <v>17.920000000000002</v>
      </c>
      <c r="M261" s="81">
        <f t="shared" si="179"/>
        <v>246.96000000000004</v>
      </c>
      <c r="N261" s="82"/>
      <c r="O261" s="3"/>
      <c r="P261" s="3"/>
      <c r="S261" s="35"/>
    </row>
    <row r="262" spans="1:19" s="4" customFormat="1" ht="15.75" customHeight="1">
      <c r="A262" s="78" t="s">
        <v>38</v>
      </c>
      <c r="B262" s="78" t="s">
        <v>39</v>
      </c>
      <c r="C262" s="100" t="s">
        <v>131</v>
      </c>
      <c r="D262" s="104">
        <f>40*2</f>
        <v>80</v>
      </c>
      <c r="E262" s="26">
        <v>0.05</v>
      </c>
      <c r="F262" s="79">
        <f t="shared" si="175"/>
        <v>84</v>
      </c>
      <c r="G262" s="90" t="s">
        <v>47</v>
      </c>
      <c r="H262" s="80">
        <v>7.0000000000000007E-2</v>
      </c>
      <c r="I262" s="80">
        <f t="shared" si="176"/>
        <v>5.8800000000000008</v>
      </c>
      <c r="J262" s="80">
        <v>0.1</v>
      </c>
      <c r="K262" s="80">
        <f t="shared" si="177"/>
        <v>8.4</v>
      </c>
      <c r="L262" s="27">
        <f t="shared" si="178"/>
        <v>0.17</v>
      </c>
      <c r="M262" s="81">
        <f t="shared" si="179"/>
        <v>14.280000000000001</v>
      </c>
      <c r="N262" s="82"/>
      <c r="O262" s="3"/>
      <c r="P262" s="3"/>
      <c r="S262" s="35"/>
    </row>
    <row r="263" spans="1:19" s="4" customFormat="1" ht="15.75" customHeight="1">
      <c r="A263" s="78"/>
      <c r="B263" s="78"/>
      <c r="C263" s="100"/>
      <c r="D263" s="104"/>
      <c r="E263" s="26"/>
      <c r="F263" s="79"/>
      <c r="G263" s="90"/>
      <c r="H263" s="80"/>
      <c r="I263" s="80"/>
      <c r="J263" s="80"/>
      <c r="K263" s="80"/>
      <c r="L263" s="27"/>
      <c r="M263" s="81"/>
      <c r="N263" s="82"/>
      <c r="O263" s="3"/>
      <c r="P263" s="3"/>
      <c r="S263" s="35"/>
    </row>
    <row r="264" spans="1:19" s="4" customFormat="1" ht="15.75" customHeight="1">
      <c r="A264" s="78"/>
      <c r="B264" s="78"/>
      <c r="C264" s="106" t="s">
        <v>163</v>
      </c>
      <c r="D264" s="104">
        <v>16.88</v>
      </c>
      <c r="E264" s="26"/>
      <c r="F264" s="79"/>
      <c r="G264" s="90"/>
      <c r="H264" s="80"/>
      <c r="I264" s="80"/>
      <c r="J264" s="80"/>
      <c r="K264" s="80"/>
      <c r="L264" s="27"/>
      <c r="M264" s="81"/>
      <c r="N264" s="82"/>
      <c r="O264" s="3"/>
      <c r="P264" s="3"/>
      <c r="S264" s="35"/>
    </row>
    <row r="265" spans="1:19" s="4" customFormat="1" ht="15.75" customHeight="1">
      <c r="A265" s="78" t="s">
        <v>38</v>
      </c>
      <c r="B265" s="78" t="s">
        <v>39</v>
      </c>
      <c r="C265" s="100" t="s">
        <v>153</v>
      </c>
      <c r="D265" s="104">
        <f>D264*30</f>
        <v>506.4</v>
      </c>
      <c r="E265" s="26">
        <v>0.05</v>
      </c>
      <c r="F265" s="79">
        <f t="shared" ref="F265:F267" si="180">D265*(1+E265)</f>
        <v>531.72</v>
      </c>
      <c r="G265" s="90" t="s">
        <v>49</v>
      </c>
      <c r="H265" s="80">
        <v>1.5</v>
      </c>
      <c r="I265" s="80">
        <f t="shared" ref="I265:I267" si="181">H265*F265</f>
        <v>797.58</v>
      </c>
      <c r="J265" s="80">
        <v>1.1499999999999999</v>
      </c>
      <c r="K265" s="80">
        <f t="shared" ref="K265:K267" si="182">J265*F265</f>
        <v>611.47799999999995</v>
      </c>
      <c r="L265" s="27">
        <f t="shared" ref="L265:L267" si="183">(H265+J265)</f>
        <v>2.65</v>
      </c>
      <c r="M265" s="81">
        <f t="shared" ref="M265:M267" si="184">L265*F265</f>
        <v>1409.058</v>
      </c>
      <c r="N265" s="82"/>
      <c r="O265" s="3"/>
      <c r="P265" s="3"/>
      <c r="S265" s="35"/>
    </row>
    <row r="266" spans="1:19" s="4" customFormat="1" ht="15.75" customHeight="1">
      <c r="A266" s="78" t="s">
        <v>38</v>
      </c>
      <c r="B266" s="78" t="s">
        <v>39</v>
      </c>
      <c r="C266" s="100" t="s">
        <v>144</v>
      </c>
      <c r="D266" s="104">
        <f>D264*2</f>
        <v>33.76</v>
      </c>
      <c r="E266" s="26">
        <v>0.05</v>
      </c>
      <c r="F266" s="79">
        <f t="shared" si="180"/>
        <v>35.448</v>
      </c>
      <c r="G266" s="90" t="s">
        <v>47</v>
      </c>
      <c r="H266" s="80">
        <v>1.1000000000000001</v>
      </c>
      <c r="I266" s="80">
        <f t="shared" si="181"/>
        <v>38.992800000000003</v>
      </c>
      <c r="J266" s="80">
        <v>0.95</v>
      </c>
      <c r="K266" s="80">
        <f t="shared" si="182"/>
        <v>33.675599999999996</v>
      </c>
      <c r="L266" s="27">
        <f t="shared" si="183"/>
        <v>2.0499999999999998</v>
      </c>
      <c r="M266" s="81">
        <f t="shared" si="184"/>
        <v>72.668399999999991</v>
      </c>
      <c r="N266" s="82"/>
      <c r="O266" s="3"/>
      <c r="P266" s="3"/>
      <c r="S266" s="35"/>
    </row>
    <row r="267" spans="1:19" s="4" customFormat="1">
      <c r="A267" s="78" t="s">
        <v>38</v>
      </c>
      <c r="B267" s="78" t="s">
        <v>39</v>
      </c>
      <c r="C267" s="103" t="s">
        <v>154</v>
      </c>
      <c r="D267" s="104">
        <f>17*30</f>
        <v>510</v>
      </c>
      <c r="E267" s="26">
        <v>0.05</v>
      </c>
      <c r="F267" s="79">
        <f t="shared" si="180"/>
        <v>535.5</v>
      </c>
      <c r="G267" s="90" t="s">
        <v>49</v>
      </c>
      <c r="H267" s="80">
        <v>0.41</v>
      </c>
      <c r="I267" s="80">
        <f t="shared" si="181"/>
        <v>219.55499999999998</v>
      </c>
      <c r="J267" s="80">
        <v>0.8</v>
      </c>
      <c r="K267" s="80">
        <f t="shared" si="182"/>
        <v>428.40000000000003</v>
      </c>
      <c r="L267" s="27">
        <f t="shared" si="183"/>
        <v>1.21</v>
      </c>
      <c r="M267" s="81">
        <f t="shared" si="184"/>
        <v>647.95499999999993</v>
      </c>
      <c r="N267" s="82"/>
      <c r="O267" s="3"/>
      <c r="P267" s="3"/>
      <c r="S267" s="35"/>
    </row>
    <row r="268" spans="1:19" s="4" customFormat="1" ht="15.75" customHeight="1">
      <c r="A268" s="78"/>
      <c r="B268" s="78"/>
      <c r="C268" s="100"/>
      <c r="D268" s="104"/>
      <c r="E268" s="26"/>
      <c r="F268" s="79"/>
      <c r="G268" s="90"/>
      <c r="H268" s="80"/>
      <c r="I268" s="80"/>
      <c r="J268" s="80"/>
      <c r="K268" s="80"/>
      <c r="L268" s="27"/>
      <c r="M268" s="81"/>
      <c r="N268" s="82"/>
      <c r="O268" s="3"/>
      <c r="P268" s="3"/>
      <c r="S268" s="35"/>
    </row>
    <row r="269" spans="1:19" s="4" customFormat="1" ht="15.75" customHeight="1">
      <c r="A269" s="78"/>
      <c r="B269" s="78"/>
      <c r="C269" s="106" t="s">
        <v>164</v>
      </c>
      <c r="D269" s="104">
        <v>6.37</v>
      </c>
      <c r="E269" s="26"/>
      <c r="F269" s="79"/>
      <c r="G269" s="90"/>
      <c r="H269" s="80"/>
      <c r="I269" s="80"/>
      <c r="J269" s="80"/>
      <c r="K269" s="80"/>
      <c r="L269" s="27"/>
      <c r="M269" s="81"/>
      <c r="N269" s="82"/>
      <c r="O269" s="3"/>
      <c r="P269" s="3"/>
      <c r="S269" s="35"/>
    </row>
    <row r="270" spans="1:19" s="4" customFormat="1" ht="15.75" customHeight="1">
      <c r="A270" s="78" t="s">
        <v>38</v>
      </c>
      <c r="B270" s="78" t="s">
        <v>39</v>
      </c>
      <c r="C270" s="100" t="s">
        <v>128</v>
      </c>
      <c r="D270" s="104">
        <f>D269*10</f>
        <v>63.7</v>
      </c>
      <c r="E270" s="26">
        <v>0.05</v>
      </c>
      <c r="F270" s="79">
        <f t="shared" si="12"/>
        <v>66.885000000000005</v>
      </c>
      <c r="G270" s="90" t="s">
        <v>49</v>
      </c>
      <c r="H270" s="80">
        <v>1.5</v>
      </c>
      <c r="I270" s="80">
        <f t="shared" si="13"/>
        <v>100.32750000000001</v>
      </c>
      <c r="J270" s="80">
        <v>1.1499999999999999</v>
      </c>
      <c r="K270" s="80">
        <f t="shared" si="14"/>
        <v>76.917749999999998</v>
      </c>
      <c r="L270" s="27">
        <f t="shared" si="15"/>
        <v>2.65</v>
      </c>
      <c r="M270" s="81">
        <f t="shared" si="16"/>
        <v>177.24525</v>
      </c>
      <c r="N270" s="82"/>
      <c r="O270" s="3"/>
      <c r="P270" s="3"/>
      <c r="S270" s="35"/>
    </row>
    <row r="271" spans="1:19" s="4" customFormat="1" ht="15.75" customHeight="1">
      <c r="A271" s="78" t="s">
        <v>38</v>
      </c>
      <c r="B271" s="78" t="s">
        <v>39</v>
      </c>
      <c r="C271" s="100" t="s">
        <v>129</v>
      </c>
      <c r="D271" s="104">
        <f>D269*2</f>
        <v>12.74</v>
      </c>
      <c r="E271" s="26">
        <v>0.05</v>
      </c>
      <c r="F271" s="79">
        <f t="shared" si="12"/>
        <v>13.377000000000001</v>
      </c>
      <c r="G271" s="90" t="s">
        <v>47</v>
      </c>
      <c r="H271" s="80">
        <v>1.1000000000000001</v>
      </c>
      <c r="I271" s="80">
        <f t="shared" si="13"/>
        <v>14.714700000000002</v>
      </c>
      <c r="J271" s="80">
        <v>0.95</v>
      </c>
      <c r="K271" s="80">
        <f t="shared" si="14"/>
        <v>12.70815</v>
      </c>
      <c r="L271" s="27">
        <f t="shared" si="15"/>
        <v>2.0499999999999998</v>
      </c>
      <c r="M271" s="81">
        <f t="shared" si="16"/>
        <v>27.42285</v>
      </c>
      <c r="N271" s="82"/>
      <c r="O271" s="3"/>
      <c r="P271" s="3"/>
      <c r="S271" s="35"/>
    </row>
    <row r="272" spans="1:19" s="4" customFormat="1" ht="15.75" customHeight="1">
      <c r="A272" s="78" t="s">
        <v>38</v>
      </c>
      <c r="B272" s="78" t="s">
        <v>39</v>
      </c>
      <c r="C272" s="100" t="s">
        <v>138</v>
      </c>
      <c r="D272" s="104">
        <f>6*10.5*2/32</f>
        <v>3.9375</v>
      </c>
      <c r="E272" s="26">
        <v>0.05</v>
      </c>
      <c r="F272" s="79">
        <f t="shared" si="12"/>
        <v>4.1343750000000004</v>
      </c>
      <c r="G272" s="90" t="s">
        <v>41</v>
      </c>
      <c r="H272" s="80">
        <f>0.22*32</f>
        <v>7.04</v>
      </c>
      <c r="I272" s="80">
        <f t="shared" si="13"/>
        <v>29.106000000000002</v>
      </c>
      <c r="J272" s="80">
        <f>0.34*32</f>
        <v>10.88</v>
      </c>
      <c r="K272" s="80">
        <f t="shared" si="14"/>
        <v>44.982000000000006</v>
      </c>
      <c r="L272" s="27">
        <f t="shared" si="15"/>
        <v>17.920000000000002</v>
      </c>
      <c r="M272" s="81">
        <f t="shared" si="16"/>
        <v>74.088000000000008</v>
      </c>
      <c r="N272" s="82"/>
      <c r="O272" s="3"/>
      <c r="P272" s="3"/>
      <c r="S272" s="35"/>
    </row>
    <row r="273" spans="1:19" s="4" customFormat="1" ht="15.75" customHeight="1">
      <c r="A273" s="78" t="s">
        <v>38</v>
      </c>
      <c r="B273" s="78" t="s">
        <v>39</v>
      </c>
      <c r="C273" s="100" t="s">
        <v>131</v>
      </c>
      <c r="D273" s="104">
        <f>6*2*2</f>
        <v>24</v>
      </c>
      <c r="E273" s="26">
        <v>0.05</v>
      </c>
      <c r="F273" s="79">
        <f t="shared" si="12"/>
        <v>25.200000000000003</v>
      </c>
      <c r="G273" s="90" t="s">
        <v>47</v>
      </c>
      <c r="H273" s="80">
        <v>7.0000000000000007E-2</v>
      </c>
      <c r="I273" s="80">
        <f t="shared" si="13"/>
        <v>1.7640000000000005</v>
      </c>
      <c r="J273" s="80">
        <v>0.1</v>
      </c>
      <c r="K273" s="80">
        <f t="shared" si="14"/>
        <v>2.5200000000000005</v>
      </c>
      <c r="L273" s="27">
        <f t="shared" si="15"/>
        <v>0.17</v>
      </c>
      <c r="M273" s="81">
        <f t="shared" si="16"/>
        <v>4.2840000000000007</v>
      </c>
      <c r="N273" s="82"/>
      <c r="O273" s="3"/>
      <c r="P273" s="3"/>
      <c r="S273" s="35"/>
    </row>
    <row r="274" spans="1:19" s="4" customFormat="1">
      <c r="A274" s="78" t="s">
        <v>38</v>
      </c>
      <c r="B274" s="78" t="s">
        <v>39</v>
      </c>
      <c r="C274" s="103" t="s">
        <v>135</v>
      </c>
      <c r="D274" s="104">
        <f>6*10.5</f>
        <v>63</v>
      </c>
      <c r="E274" s="26">
        <v>0.05</v>
      </c>
      <c r="F274" s="79">
        <f t="shared" si="12"/>
        <v>66.150000000000006</v>
      </c>
      <c r="G274" s="90" t="s">
        <v>49</v>
      </c>
      <c r="H274" s="80">
        <v>0.41</v>
      </c>
      <c r="I274" s="80">
        <f t="shared" si="13"/>
        <v>27.121500000000001</v>
      </c>
      <c r="J274" s="80">
        <v>0.8</v>
      </c>
      <c r="K274" s="80">
        <f t="shared" si="14"/>
        <v>52.920000000000009</v>
      </c>
      <c r="L274" s="27">
        <f t="shared" si="15"/>
        <v>1.21</v>
      </c>
      <c r="M274" s="81">
        <f t="shared" si="16"/>
        <v>80.041499999999999</v>
      </c>
      <c r="N274" s="82"/>
      <c r="O274" s="3"/>
      <c r="P274" s="3"/>
      <c r="S274" s="35"/>
    </row>
    <row r="275" spans="1:19" s="4" customFormat="1" ht="15.75" customHeight="1">
      <c r="A275" s="78"/>
      <c r="B275" s="78"/>
      <c r="C275" s="100"/>
      <c r="D275" s="104"/>
      <c r="E275" s="26"/>
      <c r="F275" s="79"/>
      <c r="G275" s="90"/>
      <c r="H275" s="80"/>
      <c r="I275" s="80"/>
      <c r="J275" s="80"/>
      <c r="K275" s="80"/>
      <c r="L275" s="27"/>
      <c r="M275" s="81"/>
      <c r="N275" s="82"/>
      <c r="O275" s="3"/>
      <c r="P275" s="3"/>
      <c r="S275" s="35"/>
    </row>
    <row r="276" spans="1:19" s="4" customFormat="1" ht="15.75" customHeight="1">
      <c r="A276" s="78"/>
      <c r="B276" s="78"/>
      <c r="C276" s="106" t="s">
        <v>165</v>
      </c>
      <c r="D276" s="104">
        <v>41.46</v>
      </c>
      <c r="E276" s="26"/>
      <c r="F276" s="79"/>
      <c r="G276" s="90"/>
      <c r="H276" s="80"/>
      <c r="I276" s="80"/>
      <c r="J276" s="80"/>
      <c r="K276" s="80"/>
      <c r="L276" s="27"/>
      <c r="M276" s="81"/>
      <c r="N276" s="82"/>
      <c r="O276" s="3"/>
      <c r="P276" s="3"/>
      <c r="S276" s="35"/>
    </row>
    <row r="277" spans="1:19" s="4" customFormat="1" ht="15.75" customHeight="1">
      <c r="A277" s="78" t="s">
        <v>38</v>
      </c>
      <c r="B277" s="78" t="s">
        <v>39</v>
      </c>
      <c r="C277" s="100" t="s">
        <v>128</v>
      </c>
      <c r="D277" s="104">
        <f>D276*10</f>
        <v>414.6</v>
      </c>
      <c r="E277" s="26">
        <v>0.05</v>
      </c>
      <c r="F277" s="79">
        <f t="shared" ref="F277:F281" si="185">D277*(1+E277)</f>
        <v>435.33000000000004</v>
      </c>
      <c r="G277" s="90" t="s">
        <v>49</v>
      </c>
      <c r="H277" s="80">
        <v>1.5</v>
      </c>
      <c r="I277" s="80">
        <f t="shared" ref="I277:I281" si="186">H277*F277</f>
        <v>652.99500000000012</v>
      </c>
      <c r="J277" s="80">
        <v>1.1499999999999999</v>
      </c>
      <c r="K277" s="80">
        <f t="shared" ref="K277:K281" si="187">J277*F277</f>
        <v>500.62950000000001</v>
      </c>
      <c r="L277" s="27">
        <f t="shared" ref="L277:L281" si="188">(H277+J277)</f>
        <v>2.65</v>
      </c>
      <c r="M277" s="81">
        <f t="shared" ref="M277:M281" si="189">L277*F277</f>
        <v>1153.6245000000001</v>
      </c>
      <c r="N277" s="82"/>
      <c r="O277" s="3"/>
      <c r="P277" s="3"/>
      <c r="S277" s="35"/>
    </row>
    <row r="278" spans="1:19" s="4" customFormat="1" ht="15.75" customHeight="1">
      <c r="A278" s="78" t="s">
        <v>38</v>
      </c>
      <c r="B278" s="78" t="s">
        <v>39</v>
      </c>
      <c r="C278" s="100" t="s">
        <v>129</v>
      </c>
      <c r="D278" s="104">
        <f>D276*2</f>
        <v>82.92</v>
      </c>
      <c r="E278" s="26">
        <v>0.05</v>
      </c>
      <c r="F278" s="79">
        <f t="shared" si="185"/>
        <v>87.066000000000003</v>
      </c>
      <c r="G278" s="90" t="s">
        <v>47</v>
      </c>
      <c r="H278" s="80">
        <v>1.1000000000000001</v>
      </c>
      <c r="I278" s="80">
        <f t="shared" si="186"/>
        <v>95.772600000000011</v>
      </c>
      <c r="J278" s="80">
        <v>0.95</v>
      </c>
      <c r="K278" s="80">
        <f t="shared" si="187"/>
        <v>82.712699999999998</v>
      </c>
      <c r="L278" s="27">
        <f t="shared" si="188"/>
        <v>2.0499999999999998</v>
      </c>
      <c r="M278" s="81">
        <f t="shared" si="189"/>
        <v>178.4853</v>
      </c>
      <c r="N278" s="82"/>
      <c r="O278" s="3"/>
      <c r="P278" s="3"/>
      <c r="S278" s="35"/>
    </row>
    <row r="279" spans="1:19" s="4" customFormat="1" ht="15.75" customHeight="1">
      <c r="A279" s="78" t="s">
        <v>38</v>
      </c>
      <c r="B279" s="78" t="s">
        <v>39</v>
      </c>
      <c r="C279" s="100" t="s">
        <v>138</v>
      </c>
      <c r="D279" s="104">
        <f>41*10.5*2/32-D280</f>
        <v>21.78125</v>
      </c>
      <c r="E279" s="26">
        <v>0.05</v>
      </c>
      <c r="F279" s="79">
        <f t="shared" si="185"/>
        <v>22.870312500000001</v>
      </c>
      <c r="G279" s="90" t="s">
        <v>41</v>
      </c>
      <c r="H279" s="80">
        <f t="shared" ref="H279:H280" si="190">0.22*32</f>
        <v>7.04</v>
      </c>
      <c r="I279" s="80">
        <f t="shared" si="186"/>
        <v>161.00700000000001</v>
      </c>
      <c r="J279" s="80">
        <f t="shared" ref="J279:J280" si="191">0.34*32</f>
        <v>10.88</v>
      </c>
      <c r="K279" s="80">
        <f t="shared" si="187"/>
        <v>248.82900000000004</v>
      </c>
      <c r="L279" s="27">
        <f t="shared" si="188"/>
        <v>17.920000000000002</v>
      </c>
      <c r="M279" s="81">
        <f t="shared" si="189"/>
        <v>409.83600000000007</v>
      </c>
      <c r="N279" s="82"/>
      <c r="O279" s="3"/>
      <c r="P279" s="3"/>
      <c r="S279" s="35"/>
    </row>
    <row r="280" spans="1:19" s="4" customFormat="1" ht="15.75" customHeight="1">
      <c r="A280" s="78" t="s">
        <v>38</v>
      </c>
      <c r="B280" s="78" t="s">
        <v>39</v>
      </c>
      <c r="C280" s="100" t="s">
        <v>166</v>
      </c>
      <c r="D280" s="104">
        <f>41*4/32</f>
        <v>5.125</v>
      </c>
      <c r="E280" s="26">
        <v>0.05</v>
      </c>
      <c r="F280" s="79">
        <f t="shared" ref="F280" si="192">D280*(1+E280)</f>
        <v>5.3812500000000005</v>
      </c>
      <c r="G280" s="90" t="s">
        <v>41</v>
      </c>
      <c r="H280" s="80">
        <f t="shared" si="190"/>
        <v>7.04</v>
      </c>
      <c r="I280" s="80">
        <f t="shared" si="186"/>
        <v>37.884000000000007</v>
      </c>
      <c r="J280" s="80">
        <f t="shared" si="191"/>
        <v>10.88</v>
      </c>
      <c r="K280" s="80">
        <f t="shared" ref="K280" si="193">J280*F280</f>
        <v>58.548000000000009</v>
      </c>
      <c r="L280" s="27">
        <f t="shared" ref="L280" si="194">(H280+J280)</f>
        <v>17.920000000000002</v>
      </c>
      <c r="M280" s="81">
        <f t="shared" ref="M280" si="195">L280*F280</f>
        <v>96.432000000000016</v>
      </c>
      <c r="N280" s="82"/>
      <c r="O280" s="3"/>
      <c r="P280" s="3"/>
      <c r="S280" s="35"/>
    </row>
    <row r="281" spans="1:19" s="4" customFormat="1" ht="15.75" customHeight="1">
      <c r="A281" s="78" t="s">
        <v>38</v>
      </c>
      <c r="B281" s="78" t="s">
        <v>39</v>
      </c>
      <c r="C281" s="100" t="s">
        <v>131</v>
      </c>
      <c r="D281" s="104">
        <f>41*4</f>
        <v>164</v>
      </c>
      <c r="E281" s="26">
        <v>0.05</v>
      </c>
      <c r="F281" s="79">
        <f t="shared" si="185"/>
        <v>172.20000000000002</v>
      </c>
      <c r="G281" s="90" t="s">
        <v>47</v>
      </c>
      <c r="H281" s="80">
        <v>7.0000000000000007E-2</v>
      </c>
      <c r="I281" s="80">
        <f t="shared" si="186"/>
        <v>12.054000000000002</v>
      </c>
      <c r="J281" s="80">
        <v>0.1</v>
      </c>
      <c r="K281" s="80">
        <f t="shared" si="187"/>
        <v>17.220000000000002</v>
      </c>
      <c r="L281" s="27">
        <f t="shared" si="188"/>
        <v>0.17</v>
      </c>
      <c r="M281" s="81">
        <f t="shared" si="189"/>
        <v>29.274000000000004</v>
      </c>
      <c r="N281" s="82"/>
      <c r="O281" s="3"/>
      <c r="P281" s="3"/>
      <c r="S281" s="35"/>
    </row>
    <row r="282" spans="1:19" s="4" customFormat="1" ht="15.75" customHeight="1">
      <c r="A282" s="78"/>
      <c r="B282" s="78"/>
      <c r="C282" s="100"/>
      <c r="D282" s="104"/>
      <c r="E282" s="26"/>
      <c r="F282" s="79"/>
      <c r="G282" s="90"/>
      <c r="H282" s="80"/>
      <c r="I282" s="80"/>
      <c r="J282" s="80"/>
      <c r="K282" s="80"/>
      <c r="L282" s="27"/>
      <c r="M282" s="81"/>
      <c r="N282" s="82"/>
      <c r="O282" s="3"/>
      <c r="P282" s="3"/>
      <c r="S282" s="35"/>
    </row>
    <row r="283" spans="1:19" s="4" customFormat="1" ht="15.75" customHeight="1">
      <c r="A283" s="78"/>
      <c r="B283" s="78"/>
      <c r="C283" s="106" t="s">
        <v>167</v>
      </c>
      <c r="D283" s="104">
        <v>14.62</v>
      </c>
      <c r="E283" s="26"/>
      <c r="F283" s="79"/>
      <c r="G283" s="90"/>
      <c r="H283" s="80"/>
      <c r="I283" s="80"/>
      <c r="J283" s="80"/>
      <c r="K283" s="80"/>
      <c r="L283" s="27"/>
      <c r="M283" s="81"/>
      <c r="N283" s="82"/>
      <c r="O283" s="3"/>
      <c r="P283" s="3"/>
      <c r="S283" s="35"/>
    </row>
    <row r="284" spans="1:19" s="4" customFormat="1" ht="15.75" customHeight="1">
      <c r="A284" s="78" t="s">
        <v>38</v>
      </c>
      <c r="B284" s="78" t="s">
        <v>39</v>
      </c>
      <c r="C284" s="100" t="s">
        <v>143</v>
      </c>
      <c r="D284" s="104">
        <f>D283*11.5</f>
        <v>168.13</v>
      </c>
      <c r="E284" s="26">
        <v>0.05</v>
      </c>
      <c r="F284" s="79">
        <f t="shared" si="12"/>
        <v>176.53649999999999</v>
      </c>
      <c r="G284" s="90" t="s">
        <v>49</v>
      </c>
      <c r="H284" s="80">
        <v>1.5</v>
      </c>
      <c r="I284" s="80">
        <f t="shared" si="13"/>
        <v>264.80475000000001</v>
      </c>
      <c r="J284" s="80">
        <v>1.1499999999999999</v>
      </c>
      <c r="K284" s="80">
        <f t="shared" si="14"/>
        <v>203.01697499999997</v>
      </c>
      <c r="L284" s="27">
        <f t="shared" si="15"/>
        <v>2.65</v>
      </c>
      <c r="M284" s="81">
        <f t="shared" si="16"/>
        <v>467.82172499999996</v>
      </c>
      <c r="N284" s="82"/>
      <c r="O284" s="3"/>
      <c r="P284" s="3"/>
      <c r="S284" s="35"/>
    </row>
    <row r="285" spans="1:19" s="4" customFormat="1" ht="15.75" customHeight="1">
      <c r="A285" s="78" t="s">
        <v>38</v>
      </c>
      <c r="B285" s="78" t="s">
        <v>39</v>
      </c>
      <c r="C285" s="100" t="s">
        <v>144</v>
      </c>
      <c r="D285" s="104">
        <f>D283*2</f>
        <v>29.24</v>
      </c>
      <c r="E285" s="26">
        <v>0.05</v>
      </c>
      <c r="F285" s="79">
        <f t="shared" si="12"/>
        <v>30.701999999999998</v>
      </c>
      <c r="G285" s="90" t="s">
        <v>47</v>
      </c>
      <c r="H285" s="80">
        <v>1.1000000000000001</v>
      </c>
      <c r="I285" s="80">
        <f t="shared" si="13"/>
        <v>33.772199999999998</v>
      </c>
      <c r="J285" s="80">
        <v>0.95</v>
      </c>
      <c r="K285" s="80">
        <f t="shared" si="14"/>
        <v>29.166899999999998</v>
      </c>
      <c r="L285" s="27">
        <f t="shared" si="15"/>
        <v>2.0499999999999998</v>
      </c>
      <c r="M285" s="81">
        <f t="shared" si="16"/>
        <v>62.939099999999989</v>
      </c>
      <c r="N285" s="82"/>
      <c r="O285" s="3"/>
      <c r="P285" s="3"/>
      <c r="S285" s="35"/>
    </row>
    <row r="286" spans="1:19" s="4" customFormat="1" ht="15.75" customHeight="1">
      <c r="A286" s="78" t="s">
        <v>38</v>
      </c>
      <c r="B286" s="78" t="s">
        <v>39</v>
      </c>
      <c r="C286" s="100" t="s">
        <v>138</v>
      </c>
      <c r="D286" s="104">
        <f>15*10.5*2/32-D287</f>
        <v>7.96875</v>
      </c>
      <c r="E286" s="26">
        <v>0.05</v>
      </c>
      <c r="F286" s="79">
        <f t="shared" si="12"/>
        <v>8.3671875</v>
      </c>
      <c r="G286" s="90" t="s">
        <v>41</v>
      </c>
      <c r="H286" s="80">
        <f t="shared" ref="H286:H287" si="196">0.22*32</f>
        <v>7.04</v>
      </c>
      <c r="I286" s="80">
        <f t="shared" si="13"/>
        <v>58.905000000000001</v>
      </c>
      <c r="J286" s="80">
        <f t="shared" ref="J286:J287" si="197">0.34*32</f>
        <v>10.88</v>
      </c>
      <c r="K286" s="80">
        <f t="shared" si="14"/>
        <v>91.035000000000011</v>
      </c>
      <c r="L286" s="27">
        <f t="shared" si="15"/>
        <v>17.920000000000002</v>
      </c>
      <c r="M286" s="81">
        <f t="shared" si="16"/>
        <v>149.94000000000003</v>
      </c>
      <c r="N286" s="82"/>
      <c r="O286" s="3"/>
      <c r="P286" s="3"/>
      <c r="S286" s="35"/>
    </row>
    <row r="287" spans="1:19" s="4" customFormat="1" ht="15.75" customHeight="1">
      <c r="A287" s="78" t="s">
        <v>38</v>
      </c>
      <c r="B287" s="78" t="s">
        <v>39</v>
      </c>
      <c r="C287" s="100" t="s">
        <v>166</v>
      </c>
      <c r="D287" s="104">
        <f>15*4/32</f>
        <v>1.875</v>
      </c>
      <c r="E287" s="26">
        <v>0.05</v>
      </c>
      <c r="F287" s="79">
        <f t="shared" si="12"/>
        <v>1.96875</v>
      </c>
      <c r="G287" s="90" t="s">
        <v>41</v>
      </c>
      <c r="H287" s="80">
        <f t="shared" si="196"/>
        <v>7.04</v>
      </c>
      <c r="I287" s="80">
        <f t="shared" si="13"/>
        <v>13.86</v>
      </c>
      <c r="J287" s="80">
        <f t="shared" si="197"/>
        <v>10.88</v>
      </c>
      <c r="K287" s="80">
        <f t="shared" si="14"/>
        <v>21.42</v>
      </c>
      <c r="L287" s="27">
        <f t="shared" si="15"/>
        <v>17.920000000000002</v>
      </c>
      <c r="M287" s="81">
        <f t="shared" si="16"/>
        <v>35.28</v>
      </c>
      <c r="N287" s="82"/>
      <c r="O287" s="3"/>
      <c r="P287" s="3"/>
      <c r="S287" s="35"/>
    </row>
    <row r="288" spans="1:19" s="4" customFormat="1" ht="15.75" customHeight="1">
      <c r="A288" s="78" t="s">
        <v>38</v>
      </c>
      <c r="B288" s="78" t="s">
        <v>39</v>
      </c>
      <c r="C288" s="100" t="s">
        <v>131</v>
      </c>
      <c r="D288" s="104">
        <f>15*4</f>
        <v>60</v>
      </c>
      <c r="E288" s="26">
        <v>0.05</v>
      </c>
      <c r="F288" s="79">
        <f t="shared" si="12"/>
        <v>63</v>
      </c>
      <c r="G288" s="90" t="s">
        <v>47</v>
      </c>
      <c r="H288" s="80">
        <v>7.0000000000000007E-2</v>
      </c>
      <c r="I288" s="80">
        <f t="shared" si="13"/>
        <v>4.41</v>
      </c>
      <c r="J288" s="80">
        <v>0.1</v>
      </c>
      <c r="K288" s="80">
        <f t="shared" si="14"/>
        <v>6.3000000000000007</v>
      </c>
      <c r="L288" s="27">
        <f t="shared" si="15"/>
        <v>0.17</v>
      </c>
      <c r="M288" s="81">
        <f t="shared" si="16"/>
        <v>10.71</v>
      </c>
      <c r="N288" s="82"/>
      <c r="O288" s="3"/>
      <c r="P288" s="3"/>
      <c r="S288" s="35"/>
    </row>
    <row r="289" spans="1:19" s="4" customFormat="1" ht="15.75" customHeight="1">
      <c r="A289" s="78" t="s">
        <v>38</v>
      </c>
      <c r="B289" s="78" t="s">
        <v>39</v>
      </c>
      <c r="C289" s="100" t="s">
        <v>155</v>
      </c>
      <c r="D289" s="104">
        <f>15*10.5</f>
        <v>157.5</v>
      </c>
      <c r="E289" s="26">
        <v>0.05</v>
      </c>
      <c r="F289" s="79">
        <f t="shared" ref="F289" si="198">D289*(1+E289)</f>
        <v>165.375</v>
      </c>
      <c r="G289" s="90" t="s">
        <v>49</v>
      </c>
      <c r="H289" s="80">
        <v>0.55000000000000004</v>
      </c>
      <c r="I289" s="80">
        <f t="shared" ref="I289" si="199">H289*F289</f>
        <v>90.956250000000011</v>
      </c>
      <c r="J289" s="80">
        <v>0.5</v>
      </c>
      <c r="K289" s="80">
        <f t="shared" ref="K289" si="200">J289*F289</f>
        <v>82.6875</v>
      </c>
      <c r="L289" s="27">
        <f t="shared" ref="L289" si="201">(H289+J289)</f>
        <v>1.05</v>
      </c>
      <c r="M289" s="81">
        <f t="shared" ref="M289" si="202">L289*F289</f>
        <v>173.64375000000001</v>
      </c>
      <c r="N289" s="82"/>
      <c r="O289" s="3"/>
      <c r="P289" s="3"/>
      <c r="S289" s="35"/>
    </row>
    <row r="290" spans="1:19" s="4" customFormat="1" ht="15.75" customHeight="1">
      <c r="A290" s="78"/>
      <c r="B290" s="78"/>
      <c r="C290" s="100"/>
      <c r="D290" s="104"/>
      <c r="E290" s="26"/>
      <c r="F290" s="79"/>
      <c r="G290" s="90"/>
      <c r="H290" s="80"/>
      <c r="I290" s="80"/>
      <c r="J290" s="80"/>
      <c r="K290" s="80"/>
      <c r="L290" s="27"/>
      <c r="M290" s="81"/>
      <c r="N290" s="82"/>
      <c r="O290" s="3"/>
      <c r="P290" s="3"/>
      <c r="S290" s="35"/>
    </row>
    <row r="291" spans="1:19" s="4" customFormat="1" ht="15.75" customHeight="1">
      <c r="A291" s="78"/>
      <c r="B291" s="78"/>
      <c r="C291" s="106" t="s">
        <v>168</v>
      </c>
      <c r="D291" s="104">
        <v>226.61</v>
      </c>
      <c r="E291" s="26"/>
      <c r="F291" s="79"/>
      <c r="G291" s="90"/>
      <c r="H291" s="80"/>
      <c r="I291" s="80"/>
      <c r="J291" s="80"/>
      <c r="K291" s="80"/>
      <c r="L291" s="27"/>
      <c r="M291" s="81"/>
      <c r="N291" s="82"/>
      <c r="O291" s="3"/>
      <c r="P291" s="3"/>
      <c r="S291" s="35"/>
    </row>
    <row r="292" spans="1:19" s="4" customFormat="1" ht="15.75" customHeight="1">
      <c r="A292" s="78" t="s">
        <v>38</v>
      </c>
      <c r="B292" s="78" t="s">
        <v>39</v>
      </c>
      <c r="C292" s="100" t="s">
        <v>143</v>
      </c>
      <c r="D292" s="104">
        <f>D291*30</f>
        <v>6798.3</v>
      </c>
      <c r="E292" s="26">
        <v>0.05</v>
      </c>
      <c r="F292" s="79">
        <f t="shared" si="12"/>
        <v>7138.2150000000001</v>
      </c>
      <c r="G292" s="90" t="s">
        <v>49</v>
      </c>
      <c r="H292" s="80">
        <v>1.5</v>
      </c>
      <c r="I292" s="80">
        <f t="shared" si="13"/>
        <v>10707.3225</v>
      </c>
      <c r="J292" s="80">
        <v>1.1499999999999999</v>
      </c>
      <c r="K292" s="80">
        <f t="shared" si="14"/>
        <v>8208.9472499999993</v>
      </c>
      <c r="L292" s="27">
        <f t="shared" si="15"/>
        <v>2.65</v>
      </c>
      <c r="M292" s="81">
        <f t="shared" si="16"/>
        <v>18916.269749999999</v>
      </c>
      <c r="N292" s="82"/>
      <c r="O292" s="3"/>
      <c r="P292" s="3"/>
      <c r="S292" s="35"/>
    </row>
    <row r="293" spans="1:19" s="4" customFormat="1" ht="15.75" customHeight="1">
      <c r="A293" s="78" t="s">
        <v>38</v>
      </c>
      <c r="B293" s="78" t="s">
        <v>39</v>
      </c>
      <c r="C293" s="100" t="s">
        <v>144</v>
      </c>
      <c r="D293" s="104">
        <f>D291*2</f>
        <v>453.22</v>
      </c>
      <c r="E293" s="26">
        <v>0.05</v>
      </c>
      <c r="F293" s="79">
        <f t="shared" si="12"/>
        <v>475.88100000000003</v>
      </c>
      <c r="G293" s="90" t="s">
        <v>47</v>
      </c>
      <c r="H293" s="80">
        <v>1.1000000000000001</v>
      </c>
      <c r="I293" s="80">
        <f t="shared" si="13"/>
        <v>523.46910000000003</v>
      </c>
      <c r="J293" s="80">
        <v>0.95</v>
      </c>
      <c r="K293" s="80">
        <f t="shared" si="14"/>
        <v>452.08695</v>
      </c>
      <c r="L293" s="27">
        <f t="shared" si="15"/>
        <v>2.0499999999999998</v>
      </c>
      <c r="M293" s="81">
        <f t="shared" si="16"/>
        <v>975.55605000000003</v>
      </c>
      <c r="N293" s="82"/>
      <c r="O293" s="3"/>
      <c r="P293" s="3"/>
      <c r="S293" s="35"/>
    </row>
    <row r="294" spans="1:19" s="4" customFormat="1" ht="15.75" customHeight="1">
      <c r="A294" s="78" t="s">
        <v>38</v>
      </c>
      <c r="B294" s="78" t="s">
        <v>39</v>
      </c>
      <c r="C294" s="100" t="s">
        <v>138</v>
      </c>
      <c r="D294" s="104">
        <f>227*30*2/32</f>
        <v>425.625</v>
      </c>
      <c r="E294" s="26">
        <v>0.05</v>
      </c>
      <c r="F294" s="79">
        <f t="shared" ref="F294:F295" si="203">D294*(1+E294)</f>
        <v>446.90625</v>
      </c>
      <c r="G294" s="90" t="s">
        <v>41</v>
      </c>
      <c r="H294" s="80">
        <f>0.22*32</f>
        <v>7.04</v>
      </c>
      <c r="I294" s="80">
        <f t="shared" si="13"/>
        <v>3146.22</v>
      </c>
      <c r="J294" s="80">
        <f>0.34*32</f>
        <v>10.88</v>
      </c>
      <c r="K294" s="80">
        <f t="shared" ref="K294:K295" si="204">J294*F294</f>
        <v>4862.34</v>
      </c>
      <c r="L294" s="27">
        <f t="shared" ref="L294:L295" si="205">(H294+J294)</f>
        <v>17.920000000000002</v>
      </c>
      <c r="M294" s="81">
        <f t="shared" ref="M294:M295" si="206">L294*F294</f>
        <v>8008.56</v>
      </c>
      <c r="N294" s="82"/>
      <c r="O294" s="3"/>
      <c r="P294" s="3"/>
      <c r="S294" s="35"/>
    </row>
    <row r="295" spans="1:19" s="4" customFormat="1" ht="15.75" customHeight="1">
      <c r="A295" s="78" t="s">
        <v>38</v>
      </c>
      <c r="B295" s="78" t="s">
        <v>39</v>
      </c>
      <c r="C295" s="100" t="s">
        <v>131</v>
      </c>
      <c r="D295" s="104">
        <f>227*2</f>
        <v>454</v>
      </c>
      <c r="E295" s="26">
        <v>0.05</v>
      </c>
      <c r="F295" s="79">
        <f t="shared" si="203"/>
        <v>476.70000000000005</v>
      </c>
      <c r="G295" s="90" t="s">
        <v>47</v>
      </c>
      <c r="H295" s="80">
        <v>7.0000000000000007E-2</v>
      </c>
      <c r="I295" s="80">
        <f t="shared" ref="I295" si="207">H295*F295</f>
        <v>33.369000000000007</v>
      </c>
      <c r="J295" s="80">
        <v>0.1</v>
      </c>
      <c r="K295" s="80">
        <f t="shared" si="204"/>
        <v>47.670000000000009</v>
      </c>
      <c r="L295" s="27">
        <f t="shared" si="205"/>
        <v>0.17</v>
      </c>
      <c r="M295" s="81">
        <f t="shared" si="206"/>
        <v>81.039000000000016</v>
      </c>
      <c r="N295" s="82"/>
      <c r="O295" s="3"/>
      <c r="P295" s="3"/>
      <c r="S295" s="35"/>
    </row>
    <row r="296" spans="1:19" s="4" customFormat="1" ht="15.75" customHeight="1">
      <c r="A296" s="78"/>
      <c r="B296" s="78"/>
      <c r="C296" s="100"/>
      <c r="D296" s="104"/>
      <c r="E296" s="26"/>
      <c r="F296" s="79"/>
      <c r="G296" s="90"/>
      <c r="H296" s="80"/>
      <c r="I296" s="80"/>
      <c r="J296" s="80"/>
      <c r="K296" s="80"/>
      <c r="L296" s="27"/>
      <c r="M296" s="81"/>
      <c r="N296" s="82"/>
      <c r="O296" s="3"/>
      <c r="P296" s="3"/>
      <c r="S296" s="35"/>
    </row>
    <row r="297" spans="1:19" s="4" customFormat="1" ht="15.75" customHeight="1">
      <c r="A297" s="78"/>
      <c r="B297" s="78"/>
      <c r="C297" s="106" t="s">
        <v>169</v>
      </c>
      <c r="D297" s="104">
        <v>105.02</v>
      </c>
      <c r="E297" s="26"/>
      <c r="F297" s="79"/>
      <c r="G297" s="90"/>
      <c r="H297" s="80"/>
      <c r="I297" s="80"/>
      <c r="J297" s="80"/>
      <c r="K297" s="80"/>
      <c r="L297" s="27"/>
      <c r="M297" s="81"/>
      <c r="N297" s="82"/>
      <c r="O297" s="3"/>
      <c r="P297" s="3"/>
      <c r="S297" s="35"/>
    </row>
    <row r="298" spans="1:19" s="4" customFormat="1" ht="15.75" customHeight="1">
      <c r="A298" s="78" t="s">
        <v>38</v>
      </c>
      <c r="B298" s="78" t="s">
        <v>39</v>
      </c>
      <c r="C298" s="100" t="s">
        <v>143</v>
      </c>
      <c r="D298" s="104">
        <f>D297*30</f>
        <v>3150.6</v>
      </c>
      <c r="E298" s="26">
        <v>0.05</v>
      </c>
      <c r="F298" s="79">
        <f t="shared" ref="F298:F302" si="208">D298*(1+E298)</f>
        <v>3308.13</v>
      </c>
      <c r="G298" s="90" t="s">
        <v>49</v>
      </c>
      <c r="H298" s="80">
        <v>1.5</v>
      </c>
      <c r="I298" s="80">
        <f t="shared" ref="I298:I302" si="209">H298*F298</f>
        <v>4962.1949999999997</v>
      </c>
      <c r="J298" s="80">
        <v>1.1499999999999999</v>
      </c>
      <c r="K298" s="80">
        <f t="shared" ref="K298:K302" si="210">J298*F298</f>
        <v>3804.3494999999998</v>
      </c>
      <c r="L298" s="27">
        <f t="shared" ref="L298:L302" si="211">(H298+J298)</f>
        <v>2.65</v>
      </c>
      <c r="M298" s="81">
        <f t="shared" ref="M298:M302" si="212">L298*F298</f>
        <v>8766.5445</v>
      </c>
      <c r="N298" s="82"/>
      <c r="O298" s="3"/>
      <c r="P298" s="3"/>
      <c r="S298" s="35"/>
    </row>
    <row r="299" spans="1:19" s="4" customFormat="1" ht="15.75" customHeight="1">
      <c r="A299" s="78" t="s">
        <v>38</v>
      </c>
      <c r="B299" s="78" t="s">
        <v>39</v>
      </c>
      <c r="C299" s="100" t="s">
        <v>144</v>
      </c>
      <c r="D299" s="104">
        <f>D297*2</f>
        <v>210.04</v>
      </c>
      <c r="E299" s="26">
        <v>0.05</v>
      </c>
      <c r="F299" s="79">
        <f t="shared" si="208"/>
        <v>220.542</v>
      </c>
      <c r="G299" s="90" t="s">
        <v>47</v>
      </c>
      <c r="H299" s="80">
        <v>1.1000000000000001</v>
      </c>
      <c r="I299" s="80">
        <f t="shared" si="209"/>
        <v>242.59620000000001</v>
      </c>
      <c r="J299" s="80">
        <v>0.95</v>
      </c>
      <c r="K299" s="80">
        <f t="shared" si="210"/>
        <v>209.51489999999998</v>
      </c>
      <c r="L299" s="27">
        <f t="shared" si="211"/>
        <v>2.0499999999999998</v>
      </c>
      <c r="M299" s="81">
        <f t="shared" si="212"/>
        <v>452.11109999999996</v>
      </c>
      <c r="N299" s="82"/>
      <c r="O299" s="3"/>
      <c r="P299" s="3"/>
      <c r="S299" s="35"/>
    </row>
    <row r="300" spans="1:19" s="4" customFormat="1" ht="15.75" customHeight="1">
      <c r="A300" s="78" t="s">
        <v>38</v>
      </c>
      <c r="B300" s="78" t="s">
        <v>39</v>
      </c>
      <c r="C300" s="100" t="s">
        <v>138</v>
      </c>
      <c r="D300" s="104">
        <f>105*30*2/32-D301</f>
        <v>183.75</v>
      </c>
      <c r="E300" s="26">
        <v>0.05</v>
      </c>
      <c r="F300" s="79">
        <f t="shared" si="208"/>
        <v>192.9375</v>
      </c>
      <c r="G300" s="90" t="s">
        <v>41</v>
      </c>
      <c r="H300" s="80">
        <f t="shared" ref="H300:H301" si="213">0.22*32</f>
        <v>7.04</v>
      </c>
      <c r="I300" s="80">
        <f t="shared" si="209"/>
        <v>1358.28</v>
      </c>
      <c r="J300" s="80">
        <f t="shared" ref="J300:J301" si="214">0.34*32</f>
        <v>10.88</v>
      </c>
      <c r="K300" s="80">
        <f t="shared" si="210"/>
        <v>2099.1600000000003</v>
      </c>
      <c r="L300" s="27">
        <f t="shared" si="211"/>
        <v>17.920000000000002</v>
      </c>
      <c r="M300" s="81">
        <f t="shared" si="212"/>
        <v>3457.4400000000005</v>
      </c>
      <c r="N300" s="82"/>
      <c r="O300" s="3"/>
      <c r="P300" s="3"/>
      <c r="S300" s="35"/>
    </row>
    <row r="301" spans="1:19" s="4" customFormat="1" ht="15.75" customHeight="1">
      <c r="A301" s="78" t="s">
        <v>38</v>
      </c>
      <c r="B301" s="78" t="s">
        <v>39</v>
      </c>
      <c r="C301" s="100" t="s">
        <v>166</v>
      </c>
      <c r="D301" s="104">
        <f>105*4/32</f>
        <v>13.125</v>
      </c>
      <c r="E301" s="26">
        <v>0.05</v>
      </c>
      <c r="F301" s="79">
        <f t="shared" si="208"/>
        <v>13.78125</v>
      </c>
      <c r="G301" s="90" t="s">
        <v>41</v>
      </c>
      <c r="H301" s="80">
        <f t="shared" si="213"/>
        <v>7.04</v>
      </c>
      <c r="I301" s="80">
        <f t="shared" si="209"/>
        <v>97.02</v>
      </c>
      <c r="J301" s="80">
        <f t="shared" si="214"/>
        <v>10.88</v>
      </c>
      <c r="K301" s="80">
        <f t="shared" si="210"/>
        <v>149.94</v>
      </c>
      <c r="L301" s="27">
        <f t="shared" si="211"/>
        <v>17.920000000000002</v>
      </c>
      <c r="M301" s="81">
        <f t="shared" si="212"/>
        <v>246.96000000000004</v>
      </c>
      <c r="N301" s="82"/>
      <c r="O301" s="3"/>
      <c r="P301" s="3"/>
      <c r="S301" s="35"/>
    </row>
    <row r="302" spans="1:19" s="4" customFormat="1" ht="15.75" customHeight="1">
      <c r="A302" s="78" t="s">
        <v>38</v>
      </c>
      <c r="B302" s="78" t="s">
        <v>39</v>
      </c>
      <c r="C302" s="100" t="s">
        <v>131</v>
      </c>
      <c r="D302" s="104">
        <f>105*4</f>
        <v>420</v>
      </c>
      <c r="E302" s="26">
        <v>0.05</v>
      </c>
      <c r="F302" s="79">
        <f t="shared" si="208"/>
        <v>441</v>
      </c>
      <c r="G302" s="90" t="s">
        <v>47</v>
      </c>
      <c r="H302" s="80">
        <v>7.0000000000000007E-2</v>
      </c>
      <c r="I302" s="80">
        <f t="shared" si="209"/>
        <v>30.870000000000005</v>
      </c>
      <c r="J302" s="80">
        <v>0.1</v>
      </c>
      <c r="K302" s="80">
        <f t="shared" si="210"/>
        <v>44.1</v>
      </c>
      <c r="L302" s="27">
        <f t="shared" si="211"/>
        <v>0.17</v>
      </c>
      <c r="M302" s="81">
        <f t="shared" si="212"/>
        <v>74.97</v>
      </c>
      <c r="N302" s="82"/>
      <c r="O302" s="3"/>
      <c r="P302" s="3"/>
      <c r="S302" s="35"/>
    </row>
    <row r="303" spans="1:19" s="4" customFormat="1" ht="15.75" customHeight="1">
      <c r="A303" s="78"/>
      <c r="B303" s="78"/>
      <c r="C303" s="100"/>
      <c r="D303" s="104"/>
      <c r="E303" s="26"/>
      <c r="F303" s="79"/>
      <c r="G303" s="90"/>
      <c r="H303" s="80"/>
      <c r="I303" s="80"/>
      <c r="J303" s="80"/>
      <c r="K303" s="80"/>
      <c r="L303" s="27"/>
      <c r="M303" s="81"/>
      <c r="N303" s="82"/>
      <c r="O303" s="3"/>
      <c r="P303" s="3"/>
      <c r="S303" s="35"/>
    </row>
    <row r="304" spans="1:19" s="4" customFormat="1" ht="15.75" customHeight="1">
      <c r="A304" s="78"/>
      <c r="B304" s="78"/>
      <c r="C304" s="106" t="s">
        <v>170</v>
      </c>
      <c r="D304" s="104">
        <v>41.25</v>
      </c>
      <c r="E304" s="26"/>
      <c r="F304" s="79"/>
      <c r="G304" s="90"/>
      <c r="H304" s="80"/>
      <c r="I304" s="80"/>
      <c r="J304" s="80"/>
      <c r="K304" s="80"/>
      <c r="L304" s="27"/>
      <c r="M304" s="81"/>
      <c r="N304" s="82"/>
      <c r="O304" s="3"/>
      <c r="P304" s="3"/>
      <c r="S304" s="35"/>
    </row>
    <row r="305" spans="1:19" s="4" customFormat="1" ht="15.75" customHeight="1">
      <c r="A305" s="78" t="s">
        <v>38</v>
      </c>
      <c r="B305" s="78" t="s">
        <v>39</v>
      </c>
      <c r="C305" s="100" t="s">
        <v>143</v>
      </c>
      <c r="D305" s="104">
        <f>D304*30</f>
        <v>1237.5</v>
      </c>
      <c r="E305" s="26">
        <v>0.05</v>
      </c>
      <c r="F305" s="79">
        <f t="shared" si="12"/>
        <v>1299.375</v>
      </c>
      <c r="G305" s="90" t="s">
        <v>49</v>
      </c>
      <c r="H305" s="80">
        <v>1.5</v>
      </c>
      <c r="I305" s="80">
        <f t="shared" si="13"/>
        <v>1949.0625</v>
      </c>
      <c r="J305" s="80">
        <v>1.1499999999999999</v>
      </c>
      <c r="K305" s="80">
        <f t="shared" si="14"/>
        <v>1494.2812499999998</v>
      </c>
      <c r="L305" s="27">
        <f t="shared" si="15"/>
        <v>2.65</v>
      </c>
      <c r="M305" s="81">
        <f t="shared" si="16"/>
        <v>3443.34375</v>
      </c>
      <c r="N305" s="82"/>
      <c r="O305" s="3"/>
      <c r="P305" s="3"/>
      <c r="S305" s="35"/>
    </row>
    <row r="306" spans="1:19" s="4" customFormat="1" ht="15.75" customHeight="1">
      <c r="A306" s="78" t="s">
        <v>38</v>
      </c>
      <c r="B306" s="78" t="s">
        <v>39</v>
      </c>
      <c r="C306" s="100" t="s">
        <v>144</v>
      </c>
      <c r="D306" s="104">
        <f>D304*2</f>
        <v>82.5</v>
      </c>
      <c r="E306" s="26">
        <v>0.05</v>
      </c>
      <c r="F306" s="79">
        <f t="shared" si="12"/>
        <v>86.625</v>
      </c>
      <c r="G306" s="90" t="s">
        <v>47</v>
      </c>
      <c r="H306" s="80">
        <v>1.1000000000000001</v>
      </c>
      <c r="I306" s="80">
        <f t="shared" si="13"/>
        <v>95.287500000000009</v>
      </c>
      <c r="J306" s="80">
        <v>0.95</v>
      </c>
      <c r="K306" s="80">
        <f t="shared" si="14"/>
        <v>82.293750000000003</v>
      </c>
      <c r="L306" s="27">
        <f t="shared" si="15"/>
        <v>2.0499999999999998</v>
      </c>
      <c r="M306" s="81">
        <f t="shared" si="16"/>
        <v>177.58124999999998</v>
      </c>
      <c r="N306" s="82"/>
      <c r="O306" s="3"/>
      <c r="P306" s="3"/>
      <c r="S306" s="35"/>
    </row>
    <row r="307" spans="1:19" s="4" customFormat="1" ht="15.75" customHeight="1">
      <c r="A307" s="78" t="s">
        <v>38</v>
      </c>
      <c r="B307" s="78" t="s">
        <v>39</v>
      </c>
      <c r="C307" s="100" t="s">
        <v>138</v>
      </c>
      <c r="D307" s="104">
        <f>41*30*2/32</f>
        <v>76.875</v>
      </c>
      <c r="E307" s="26">
        <v>0.05</v>
      </c>
      <c r="F307" s="79">
        <f t="shared" si="12"/>
        <v>80.71875</v>
      </c>
      <c r="G307" s="90" t="s">
        <v>41</v>
      </c>
      <c r="H307" s="80">
        <f>0.22*32</f>
        <v>7.04</v>
      </c>
      <c r="I307" s="80">
        <f t="shared" si="13"/>
        <v>568.26</v>
      </c>
      <c r="J307" s="80">
        <f>0.34*32</f>
        <v>10.88</v>
      </c>
      <c r="K307" s="80">
        <f t="shared" si="14"/>
        <v>878.22</v>
      </c>
      <c r="L307" s="27">
        <f t="shared" si="15"/>
        <v>17.920000000000002</v>
      </c>
      <c r="M307" s="81">
        <f t="shared" si="16"/>
        <v>1446.4800000000002</v>
      </c>
      <c r="N307" s="82"/>
      <c r="O307" s="3"/>
      <c r="P307" s="3"/>
      <c r="S307" s="35"/>
    </row>
    <row r="308" spans="1:19" s="4" customFormat="1" ht="15.75" customHeight="1">
      <c r="A308" s="78" t="s">
        <v>38</v>
      </c>
      <c r="B308" s="78" t="s">
        <v>39</v>
      </c>
      <c r="C308" s="100" t="s">
        <v>131</v>
      </c>
      <c r="D308" s="104">
        <f>41*4</f>
        <v>164</v>
      </c>
      <c r="E308" s="26">
        <v>0.05</v>
      </c>
      <c r="F308" s="79">
        <f t="shared" si="12"/>
        <v>172.20000000000002</v>
      </c>
      <c r="G308" s="90" t="s">
        <v>47</v>
      </c>
      <c r="H308" s="80">
        <v>7.0000000000000007E-2</v>
      </c>
      <c r="I308" s="80">
        <f t="shared" si="13"/>
        <v>12.054000000000002</v>
      </c>
      <c r="J308" s="80">
        <v>0.1</v>
      </c>
      <c r="K308" s="80">
        <f t="shared" si="14"/>
        <v>17.220000000000002</v>
      </c>
      <c r="L308" s="27">
        <f t="shared" si="15"/>
        <v>0.17</v>
      </c>
      <c r="M308" s="81">
        <f t="shared" si="16"/>
        <v>29.274000000000004</v>
      </c>
      <c r="N308" s="82"/>
      <c r="O308" s="3"/>
      <c r="P308" s="3"/>
      <c r="S308" s="35"/>
    </row>
    <row r="309" spans="1:19" s="4" customFormat="1" ht="15.75" customHeight="1">
      <c r="A309" s="78" t="s">
        <v>38</v>
      </c>
      <c r="B309" s="78" t="s">
        <v>39</v>
      </c>
      <c r="C309" s="100" t="s">
        <v>171</v>
      </c>
      <c r="D309" s="104">
        <f>41*30</f>
        <v>1230</v>
      </c>
      <c r="E309" s="26">
        <v>0.05</v>
      </c>
      <c r="F309" s="79">
        <f t="shared" ref="F309" si="215">D309*(1+E309)</f>
        <v>1291.5</v>
      </c>
      <c r="G309" s="90" t="s">
        <v>49</v>
      </c>
      <c r="H309" s="80">
        <v>0.41</v>
      </c>
      <c r="I309" s="80">
        <f t="shared" ref="I309" si="216">H309*F309</f>
        <v>529.51499999999999</v>
      </c>
      <c r="J309" s="80">
        <v>0.8</v>
      </c>
      <c r="K309" s="80">
        <f t="shared" ref="K309" si="217">J309*F309</f>
        <v>1033.2</v>
      </c>
      <c r="L309" s="27">
        <f t="shared" ref="L309" si="218">(H309+J309)</f>
        <v>1.21</v>
      </c>
      <c r="M309" s="81">
        <f t="shared" ref="M309" si="219">L309*F309</f>
        <v>1562.7149999999999</v>
      </c>
      <c r="N309" s="82"/>
      <c r="O309" s="3"/>
      <c r="P309" s="3"/>
      <c r="S309" s="35"/>
    </row>
    <row r="310" spans="1:19" s="4" customFormat="1" ht="15.75" customHeight="1">
      <c r="A310" s="78"/>
      <c r="B310" s="78"/>
      <c r="C310" s="100"/>
      <c r="D310" s="104"/>
      <c r="E310" s="26"/>
      <c r="F310" s="79"/>
      <c r="G310" s="90"/>
      <c r="H310" s="80"/>
      <c r="I310" s="80"/>
      <c r="J310" s="80"/>
      <c r="K310" s="80"/>
      <c r="L310" s="27"/>
      <c r="M310" s="81"/>
      <c r="N310" s="82"/>
      <c r="O310" s="3"/>
      <c r="P310" s="3"/>
      <c r="S310" s="35"/>
    </row>
    <row r="311" spans="1:19" s="4" customFormat="1" ht="15.75" customHeight="1">
      <c r="A311" s="78"/>
      <c r="B311" s="78"/>
      <c r="C311" s="106" t="s">
        <v>168</v>
      </c>
      <c r="D311" s="104">
        <v>110.8</v>
      </c>
      <c r="E311" s="26"/>
      <c r="F311" s="79"/>
      <c r="G311" s="90"/>
      <c r="H311" s="80"/>
      <c r="I311" s="80"/>
      <c r="J311" s="80"/>
      <c r="K311" s="80"/>
      <c r="L311" s="27"/>
      <c r="M311" s="81"/>
      <c r="N311" s="82"/>
      <c r="O311" s="3"/>
      <c r="P311" s="3"/>
      <c r="S311" s="35"/>
    </row>
    <row r="312" spans="1:19" s="4" customFormat="1" ht="15.75" customHeight="1">
      <c r="A312" s="78" t="s">
        <v>38</v>
      </c>
      <c r="B312" s="78" t="s">
        <v>39</v>
      </c>
      <c r="C312" s="100" t="s">
        <v>143</v>
      </c>
      <c r="D312" s="104">
        <f>D311*30</f>
        <v>3324</v>
      </c>
      <c r="E312" s="26">
        <v>0.05</v>
      </c>
      <c r="F312" s="79">
        <f t="shared" ref="F312:F315" si="220">D312*(1+E312)</f>
        <v>3490.2000000000003</v>
      </c>
      <c r="G312" s="90" t="s">
        <v>49</v>
      </c>
      <c r="H312" s="80">
        <v>1.5</v>
      </c>
      <c r="I312" s="80">
        <f t="shared" ref="I312:I315" si="221">H312*F312</f>
        <v>5235.3</v>
      </c>
      <c r="J312" s="80">
        <v>1.1499999999999999</v>
      </c>
      <c r="K312" s="80">
        <f t="shared" ref="K312:K315" si="222">J312*F312</f>
        <v>4013.73</v>
      </c>
      <c r="L312" s="27">
        <f t="shared" ref="L312:L315" si="223">(H312+J312)</f>
        <v>2.65</v>
      </c>
      <c r="M312" s="81">
        <f t="shared" ref="M312:M315" si="224">L312*F312</f>
        <v>9249.0300000000007</v>
      </c>
      <c r="N312" s="82"/>
      <c r="O312" s="3"/>
      <c r="P312" s="3"/>
      <c r="S312" s="35"/>
    </row>
    <row r="313" spans="1:19" s="4" customFormat="1" ht="15.75" customHeight="1">
      <c r="A313" s="78" t="s">
        <v>38</v>
      </c>
      <c r="B313" s="78" t="s">
        <v>39</v>
      </c>
      <c r="C313" s="100" t="s">
        <v>144</v>
      </c>
      <c r="D313" s="104">
        <f>D311*2</f>
        <v>221.6</v>
      </c>
      <c r="E313" s="26">
        <v>0.05</v>
      </c>
      <c r="F313" s="79">
        <f t="shared" si="220"/>
        <v>232.68</v>
      </c>
      <c r="G313" s="90" t="s">
        <v>47</v>
      </c>
      <c r="H313" s="80">
        <v>1.1000000000000001</v>
      </c>
      <c r="I313" s="80">
        <f t="shared" si="221"/>
        <v>255.94800000000004</v>
      </c>
      <c r="J313" s="80">
        <v>0.95</v>
      </c>
      <c r="K313" s="80">
        <f t="shared" si="222"/>
        <v>221.04599999999999</v>
      </c>
      <c r="L313" s="27">
        <f t="shared" si="223"/>
        <v>2.0499999999999998</v>
      </c>
      <c r="M313" s="81">
        <f t="shared" si="224"/>
        <v>476.99399999999997</v>
      </c>
      <c r="N313" s="82"/>
      <c r="O313" s="3"/>
      <c r="P313" s="3"/>
      <c r="S313" s="35"/>
    </row>
    <row r="314" spans="1:19" s="4" customFormat="1" ht="15.75" customHeight="1">
      <c r="A314" s="78" t="s">
        <v>38</v>
      </c>
      <c r="B314" s="78" t="s">
        <v>39</v>
      </c>
      <c r="C314" s="100" t="s">
        <v>138</v>
      </c>
      <c r="D314" s="104">
        <f>111*30*2/32</f>
        <v>208.125</v>
      </c>
      <c r="E314" s="26">
        <v>0.05</v>
      </c>
      <c r="F314" s="79">
        <f t="shared" si="220"/>
        <v>218.53125</v>
      </c>
      <c r="G314" s="90" t="s">
        <v>41</v>
      </c>
      <c r="H314" s="80">
        <f>0.22*32</f>
        <v>7.04</v>
      </c>
      <c r="I314" s="80">
        <f t="shared" si="221"/>
        <v>1538.46</v>
      </c>
      <c r="J314" s="80">
        <f>0.34*32</f>
        <v>10.88</v>
      </c>
      <c r="K314" s="80">
        <f t="shared" si="222"/>
        <v>2377.6200000000003</v>
      </c>
      <c r="L314" s="27">
        <f t="shared" si="223"/>
        <v>17.920000000000002</v>
      </c>
      <c r="M314" s="81">
        <f t="shared" si="224"/>
        <v>3916.0800000000004</v>
      </c>
      <c r="N314" s="82"/>
      <c r="O314" s="3"/>
      <c r="P314" s="3"/>
      <c r="S314" s="35"/>
    </row>
    <row r="315" spans="1:19" s="4" customFormat="1" ht="15.75" customHeight="1">
      <c r="A315" s="78" t="s">
        <v>38</v>
      </c>
      <c r="B315" s="78" t="s">
        <v>39</v>
      </c>
      <c r="C315" s="100" t="s">
        <v>131</v>
      </c>
      <c r="D315" s="104">
        <f>111*2</f>
        <v>222</v>
      </c>
      <c r="E315" s="26">
        <v>0.05</v>
      </c>
      <c r="F315" s="79">
        <f t="shared" si="220"/>
        <v>233.10000000000002</v>
      </c>
      <c r="G315" s="90" t="s">
        <v>47</v>
      </c>
      <c r="H315" s="80">
        <v>7.0000000000000007E-2</v>
      </c>
      <c r="I315" s="80">
        <f t="shared" si="221"/>
        <v>16.317000000000004</v>
      </c>
      <c r="J315" s="80">
        <v>0.1</v>
      </c>
      <c r="K315" s="80">
        <f t="shared" si="222"/>
        <v>23.310000000000002</v>
      </c>
      <c r="L315" s="27">
        <f t="shared" si="223"/>
        <v>0.17</v>
      </c>
      <c r="M315" s="81">
        <f t="shared" si="224"/>
        <v>39.62700000000001</v>
      </c>
      <c r="N315" s="82"/>
      <c r="O315" s="3"/>
      <c r="P315" s="3"/>
      <c r="S315" s="35"/>
    </row>
    <row r="316" spans="1:19" s="4" customFormat="1" ht="15.75" customHeight="1">
      <c r="A316" s="78"/>
      <c r="B316" s="78"/>
      <c r="C316" s="100"/>
      <c r="D316" s="104"/>
      <c r="E316" s="26"/>
      <c r="F316" s="79"/>
      <c r="G316" s="90"/>
      <c r="H316" s="80"/>
      <c r="I316" s="80"/>
      <c r="J316" s="80"/>
      <c r="K316" s="80"/>
      <c r="L316" s="27"/>
      <c r="M316" s="81"/>
      <c r="N316" s="82"/>
      <c r="O316" s="3"/>
      <c r="P316" s="3"/>
      <c r="S316" s="35"/>
    </row>
    <row r="317" spans="1:19" s="4" customFormat="1" ht="15.75" customHeight="1">
      <c r="A317" s="78"/>
      <c r="B317" s="78"/>
      <c r="C317" s="106" t="s">
        <v>172</v>
      </c>
      <c r="D317" s="104">
        <v>43.06</v>
      </c>
      <c r="E317" s="26"/>
      <c r="F317" s="79"/>
      <c r="G317" s="90"/>
      <c r="H317" s="80"/>
      <c r="I317" s="80"/>
      <c r="J317" s="80"/>
      <c r="K317" s="80"/>
      <c r="L317" s="27"/>
      <c r="M317" s="81"/>
      <c r="N317" s="82"/>
      <c r="O317" s="3"/>
      <c r="P317" s="3"/>
      <c r="S317" s="35"/>
    </row>
    <row r="318" spans="1:19" s="4" customFormat="1" ht="15.75" customHeight="1">
      <c r="A318" s="78" t="s">
        <v>38</v>
      </c>
      <c r="B318" s="78" t="s">
        <v>39</v>
      </c>
      <c r="C318" s="100" t="s">
        <v>143</v>
      </c>
      <c r="D318" s="104">
        <f>D317*30</f>
        <v>1291.8000000000002</v>
      </c>
      <c r="E318" s="26">
        <v>0.05</v>
      </c>
      <c r="F318" s="79">
        <f t="shared" si="12"/>
        <v>1356.3900000000003</v>
      </c>
      <c r="G318" s="90" t="s">
        <v>49</v>
      </c>
      <c r="H318" s="80">
        <v>1.5</v>
      </c>
      <c r="I318" s="80">
        <f t="shared" si="13"/>
        <v>2034.5850000000005</v>
      </c>
      <c r="J318" s="80">
        <v>1.1499999999999999</v>
      </c>
      <c r="K318" s="80">
        <f t="shared" si="14"/>
        <v>1559.8485000000003</v>
      </c>
      <c r="L318" s="27">
        <f t="shared" si="15"/>
        <v>2.65</v>
      </c>
      <c r="M318" s="81">
        <f t="shared" si="16"/>
        <v>3594.4335000000005</v>
      </c>
      <c r="N318" s="82"/>
      <c r="O318" s="3"/>
      <c r="P318" s="3"/>
      <c r="S318" s="35"/>
    </row>
    <row r="319" spans="1:19" s="4" customFormat="1" ht="15.75" customHeight="1">
      <c r="A319" s="78" t="s">
        <v>38</v>
      </c>
      <c r="B319" s="78" t="s">
        <v>39</v>
      </c>
      <c r="C319" s="100" t="s">
        <v>144</v>
      </c>
      <c r="D319" s="104">
        <f>D317*2</f>
        <v>86.12</v>
      </c>
      <c r="E319" s="26">
        <v>0.05</v>
      </c>
      <c r="F319" s="79">
        <f t="shared" si="12"/>
        <v>90.426000000000002</v>
      </c>
      <c r="G319" s="90" t="s">
        <v>47</v>
      </c>
      <c r="H319" s="80">
        <v>1.1000000000000001</v>
      </c>
      <c r="I319" s="80">
        <f t="shared" si="13"/>
        <v>99.468600000000009</v>
      </c>
      <c r="J319" s="80">
        <v>0.95</v>
      </c>
      <c r="K319" s="80">
        <f t="shared" si="14"/>
        <v>85.904699999999991</v>
      </c>
      <c r="L319" s="27">
        <f t="shared" si="15"/>
        <v>2.0499999999999998</v>
      </c>
      <c r="M319" s="81">
        <f t="shared" si="16"/>
        <v>185.3733</v>
      </c>
      <c r="N319" s="82"/>
      <c r="O319" s="3"/>
      <c r="P319" s="3"/>
      <c r="S319" s="35"/>
    </row>
    <row r="320" spans="1:19" s="4" customFormat="1" ht="15.75" customHeight="1">
      <c r="A320" s="78" t="s">
        <v>38</v>
      </c>
      <c r="B320" s="78" t="s">
        <v>39</v>
      </c>
      <c r="C320" s="100" t="s">
        <v>138</v>
      </c>
      <c r="D320" s="104">
        <f>43*30*2/32</f>
        <v>80.625</v>
      </c>
      <c r="E320" s="26">
        <v>0.05</v>
      </c>
      <c r="F320" s="79">
        <f t="shared" ref="F320:F322" si="225">D320*(1+E320)</f>
        <v>84.65625</v>
      </c>
      <c r="G320" s="90" t="s">
        <v>41</v>
      </c>
      <c r="H320" s="80">
        <f>0.22*32</f>
        <v>7.04</v>
      </c>
      <c r="I320" s="80">
        <f t="shared" si="13"/>
        <v>595.98</v>
      </c>
      <c r="J320" s="80">
        <f>0.34*32</f>
        <v>10.88</v>
      </c>
      <c r="K320" s="80">
        <f t="shared" ref="K320:K322" si="226">J320*F320</f>
        <v>921.06000000000006</v>
      </c>
      <c r="L320" s="27">
        <f t="shared" ref="L320:L322" si="227">(H320+J320)</f>
        <v>17.920000000000002</v>
      </c>
      <c r="M320" s="81">
        <f t="shared" ref="M320:M322" si="228">L320*F320</f>
        <v>1517.0400000000002</v>
      </c>
      <c r="N320" s="82"/>
      <c r="O320" s="3"/>
      <c r="P320" s="3"/>
      <c r="S320" s="35"/>
    </row>
    <row r="321" spans="1:19" s="4" customFormat="1" ht="15.75" customHeight="1">
      <c r="A321" s="78" t="s">
        <v>38</v>
      </c>
      <c r="B321" s="78" t="s">
        <v>39</v>
      </c>
      <c r="C321" s="100" t="s">
        <v>131</v>
      </c>
      <c r="D321" s="104">
        <f>43*4</f>
        <v>172</v>
      </c>
      <c r="E321" s="26">
        <v>0.05</v>
      </c>
      <c r="F321" s="79">
        <f t="shared" si="225"/>
        <v>180.6</v>
      </c>
      <c r="G321" s="90" t="s">
        <v>47</v>
      </c>
      <c r="H321" s="80">
        <v>7.0000000000000007E-2</v>
      </c>
      <c r="I321" s="80">
        <f t="shared" ref="I321:I322" si="229">H321*F321</f>
        <v>12.642000000000001</v>
      </c>
      <c r="J321" s="80">
        <v>0.1</v>
      </c>
      <c r="K321" s="80">
        <f t="shared" si="226"/>
        <v>18.059999999999999</v>
      </c>
      <c r="L321" s="27">
        <f t="shared" si="227"/>
        <v>0.17</v>
      </c>
      <c r="M321" s="81">
        <f t="shared" si="228"/>
        <v>30.702000000000002</v>
      </c>
      <c r="N321" s="82"/>
      <c r="O321" s="3"/>
      <c r="P321" s="3"/>
      <c r="S321" s="35"/>
    </row>
    <row r="322" spans="1:19" s="4" customFormat="1" ht="15.75" customHeight="1">
      <c r="A322" s="78" t="s">
        <v>38</v>
      </c>
      <c r="B322" s="78" t="s">
        <v>39</v>
      </c>
      <c r="C322" s="100" t="s">
        <v>171</v>
      </c>
      <c r="D322" s="104">
        <f>43*30</f>
        <v>1290</v>
      </c>
      <c r="E322" s="26">
        <v>0.05</v>
      </c>
      <c r="F322" s="79">
        <f t="shared" si="225"/>
        <v>1354.5</v>
      </c>
      <c r="G322" s="90" t="s">
        <v>49</v>
      </c>
      <c r="H322" s="80">
        <v>0.41</v>
      </c>
      <c r="I322" s="80">
        <f t="shared" si="229"/>
        <v>555.34499999999991</v>
      </c>
      <c r="J322" s="80">
        <v>0.8</v>
      </c>
      <c r="K322" s="80">
        <f t="shared" si="226"/>
        <v>1083.6000000000001</v>
      </c>
      <c r="L322" s="27">
        <f t="shared" si="227"/>
        <v>1.21</v>
      </c>
      <c r="M322" s="81">
        <f t="shared" si="228"/>
        <v>1638.9449999999999</v>
      </c>
      <c r="N322" s="82"/>
      <c r="O322" s="3"/>
      <c r="P322" s="3"/>
      <c r="S322" s="35"/>
    </row>
    <row r="323" spans="1:19" s="4" customFormat="1" ht="15.75" customHeight="1">
      <c r="A323" s="78" t="s">
        <v>38</v>
      </c>
      <c r="B323" s="78" t="s">
        <v>39</v>
      </c>
      <c r="C323" s="100" t="s">
        <v>173</v>
      </c>
      <c r="D323" s="104">
        <f>43*8</f>
        <v>344</v>
      </c>
      <c r="E323" s="26">
        <v>0.05</v>
      </c>
      <c r="F323" s="79">
        <f t="shared" ref="F323" si="230">D323*(1+E323)</f>
        <v>361.2</v>
      </c>
      <c r="G323" s="90" t="s">
        <v>49</v>
      </c>
      <c r="H323" s="80">
        <v>0.41</v>
      </c>
      <c r="I323" s="80">
        <f t="shared" ref="I323" si="231">H323*F323</f>
        <v>148.09199999999998</v>
      </c>
      <c r="J323" s="80">
        <v>0.8</v>
      </c>
      <c r="K323" s="80">
        <f t="shared" ref="K323" si="232">J323*F323</f>
        <v>288.95999999999998</v>
      </c>
      <c r="L323" s="27">
        <f t="shared" ref="L323" si="233">(H323+J323)</f>
        <v>1.21</v>
      </c>
      <c r="M323" s="81">
        <f t="shared" ref="M323" si="234">L323*F323</f>
        <v>437.05199999999996</v>
      </c>
      <c r="N323" s="82"/>
      <c r="O323" s="3"/>
      <c r="P323" s="3"/>
      <c r="S323" s="35"/>
    </row>
    <row r="324" spans="1:19" s="4" customFormat="1" ht="15.75" customHeight="1">
      <c r="A324" s="78"/>
      <c r="B324" s="78"/>
      <c r="C324" s="100"/>
      <c r="D324" s="104"/>
      <c r="E324" s="26"/>
      <c r="F324" s="79"/>
      <c r="G324" s="90"/>
      <c r="H324" s="80"/>
      <c r="I324" s="80"/>
      <c r="J324" s="80"/>
      <c r="K324" s="80"/>
      <c r="L324" s="27"/>
      <c r="M324" s="81"/>
      <c r="N324" s="82"/>
      <c r="O324" s="3"/>
      <c r="P324" s="3"/>
      <c r="S324" s="35"/>
    </row>
    <row r="325" spans="1:19" s="4" customFormat="1" ht="15.75" customHeight="1">
      <c r="A325" s="78"/>
      <c r="B325" s="78"/>
      <c r="C325" s="106" t="s">
        <v>174</v>
      </c>
      <c r="D325" s="104">
        <v>29.06</v>
      </c>
      <c r="E325" s="26"/>
      <c r="F325" s="79"/>
      <c r="G325" s="90"/>
      <c r="H325" s="80"/>
      <c r="I325" s="80"/>
      <c r="J325" s="80"/>
      <c r="K325" s="80"/>
      <c r="L325" s="27"/>
      <c r="M325" s="81"/>
      <c r="N325" s="82"/>
      <c r="O325" s="3"/>
      <c r="P325" s="3"/>
      <c r="S325" s="35"/>
    </row>
    <row r="326" spans="1:19" s="4" customFormat="1" ht="15.75" customHeight="1">
      <c r="A326" s="78" t="s">
        <v>38</v>
      </c>
      <c r="B326" s="78" t="s">
        <v>39</v>
      </c>
      <c r="C326" s="100" t="s">
        <v>138</v>
      </c>
      <c r="D326" s="104">
        <f>29*30/32</f>
        <v>27.1875</v>
      </c>
      <c r="E326" s="26">
        <v>0.05</v>
      </c>
      <c r="F326" s="79">
        <f t="shared" si="12"/>
        <v>28.546875</v>
      </c>
      <c r="G326" s="90" t="s">
        <v>41</v>
      </c>
      <c r="H326" s="80">
        <f>0.22*32</f>
        <v>7.04</v>
      </c>
      <c r="I326" s="80">
        <f t="shared" ref="I326" si="235">H326*F326</f>
        <v>200.97</v>
      </c>
      <c r="J326" s="80">
        <f>0.34*32</f>
        <v>10.88</v>
      </c>
      <c r="K326" s="80">
        <f t="shared" si="14"/>
        <v>310.59000000000003</v>
      </c>
      <c r="L326" s="27">
        <f t="shared" si="15"/>
        <v>17.920000000000002</v>
      </c>
      <c r="M326" s="81">
        <f t="shared" si="16"/>
        <v>511.56000000000006</v>
      </c>
      <c r="N326" s="82"/>
      <c r="O326" s="3"/>
      <c r="P326" s="3"/>
      <c r="S326" s="35"/>
    </row>
    <row r="327" spans="1:19" s="4" customFormat="1" ht="15.75" customHeight="1">
      <c r="A327" s="78" t="s">
        <v>38</v>
      </c>
      <c r="B327" s="78" t="s">
        <v>39</v>
      </c>
      <c r="C327" s="100" t="s">
        <v>131</v>
      </c>
      <c r="D327" s="104">
        <f>29*2</f>
        <v>58</v>
      </c>
      <c r="E327" s="26">
        <v>0.05</v>
      </c>
      <c r="F327" s="79">
        <f t="shared" si="12"/>
        <v>60.900000000000006</v>
      </c>
      <c r="G327" s="90" t="s">
        <v>47</v>
      </c>
      <c r="H327" s="80">
        <v>7.0000000000000007E-2</v>
      </c>
      <c r="I327" s="80">
        <f t="shared" si="13"/>
        <v>4.2630000000000008</v>
      </c>
      <c r="J327" s="80">
        <v>0.1</v>
      </c>
      <c r="K327" s="80">
        <f t="shared" si="14"/>
        <v>6.0900000000000007</v>
      </c>
      <c r="L327" s="27">
        <f t="shared" si="15"/>
        <v>0.17</v>
      </c>
      <c r="M327" s="81">
        <f t="shared" si="16"/>
        <v>10.353000000000002</v>
      </c>
      <c r="N327" s="82"/>
      <c r="O327" s="3"/>
      <c r="P327" s="3"/>
      <c r="S327" s="35"/>
    </row>
    <row r="328" spans="1:19" s="4" customFormat="1" ht="15.75" customHeight="1">
      <c r="A328" s="78" t="s">
        <v>38</v>
      </c>
      <c r="B328" s="78" t="s">
        <v>39</v>
      </c>
      <c r="C328" s="100" t="s">
        <v>155</v>
      </c>
      <c r="D328" s="104">
        <f>29*30</f>
        <v>870</v>
      </c>
      <c r="E328" s="26">
        <v>0.05</v>
      </c>
      <c r="F328" s="79">
        <f t="shared" si="12"/>
        <v>913.5</v>
      </c>
      <c r="G328" s="90" t="s">
        <v>49</v>
      </c>
      <c r="H328" s="80">
        <v>0.55000000000000004</v>
      </c>
      <c r="I328" s="80">
        <f t="shared" si="13"/>
        <v>502.42500000000007</v>
      </c>
      <c r="J328" s="80">
        <v>0.5</v>
      </c>
      <c r="K328" s="80">
        <f t="shared" si="14"/>
        <v>456.75</v>
      </c>
      <c r="L328" s="27">
        <f t="shared" si="15"/>
        <v>1.05</v>
      </c>
      <c r="M328" s="81">
        <f t="shared" si="16"/>
        <v>959.17500000000007</v>
      </c>
      <c r="N328" s="82"/>
      <c r="O328" s="3"/>
      <c r="P328" s="3"/>
      <c r="S328" s="35"/>
    </row>
    <row r="329" spans="1:19" s="4" customFormat="1" ht="15.75" customHeight="1">
      <c r="A329" s="78"/>
      <c r="B329" s="78"/>
      <c r="C329" s="100"/>
      <c r="D329" s="104"/>
      <c r="E329" s="26"/>
      <c r="F329" s="79"/>
      <c r="G329" s="90"/>
      <c r="H329" s="80"/>
      <c r="I329" s="80"/>
      <c r="J329" s="80"/>
      <c r="K329" s="80"/>
      <c r="L329" s="27"/>
      <c r="M329" s="81"/>
      <c r="N329" s="82"/>
      <c r="O329" s="3"/>
      <c r="P329" s="3"/>
      <c r="S329" s="35"/>
    </row>
    <row r="330" spans="1:19" s="4" customFormat="1" ht="15.75" customHeight="1">
      <c r="A330" s="78"/>
      <c r="B330" s="78"/>
      <c r="C330" s="106" t="s">
        <v>175</v>
      </c>
      <c r="D330" s="104">
        <v>9.11</v>
      </c>
      <c r="E330" s="26"/>
      <c r="F330" s="79"/>
      <c r="G330" s="90"/>
      <c r="H330" s="80"/>
      <c r="I330" s="80"/>
      <c r="J330" s="80"/>
      <c r="K330" s="80"/>
      <c r="L330" s="27"/>
      <c r="M330" s="81"/>
      <c r="N330" s="82"/>
      <c r="O330" s="3"/>
      <c r="P330" s="3"/>
      <c r="S330" s="35"/>
    </row>
    <row r="331" spans="1:19" s="4" customFormat="1" ht="15.75" customHeight="1">
      <c r="A331" s="78" t="s">
        <v>38</v>
      </c>
      <c r="B331" s="78" t="s">
        <v>39</v>
      </c>
      <c r="C331" s="100" t="s">
        <v>137</v>
      </c>
      <c r="D331" s="104">
        <f>D330*11.5</f>
        <v>104.76499999999999</v>
      </c>
      <c r="E331" s="26">
        <v>0.05</v>
      </c>
      <c r="F331" s="79">
        <f t="shared" si="12"/>
        <v>110.00324999999999</v>
      </c>
      <c r="G331" s="90" t="s">
        <v>49</v>
      </c>
      <c r="H331" s="80">
        <v>1.5</v>
      </c>
      <c r="I331" s="80">
        <f t="shared" si="13"/>
        <v>165.004875</v>
      </c>
      <c r="J331" s="80">
        <v>1.1499999999999999</v>
      </c>
      <c r="K331" s="80">
        <f t="shared" si="14"/>
        <v>126.50373749999999</v>
      </c>
      <c r="L331" s="27">
        <f t="shared" si="15"/>
        <v>2.65</v>
      </c>
      <c r="M331" s="81">
        <f t="shared" si="16"/>
        <v>291.50861249999997</v>
      </c>
      <c r="N331" s="82"/>
      <c r="O331" s="3"/>
      <c r="P331" s="3"/>
      <c r="S331" s="35"/>
    </row>
    <row r="332" spans="1:19" s="4" customFormat="1" ht="15.75" customHeight="1">
      <c r="A332" s="78" t="s">
        <v>38</v>
      </c>
      <c r="B332" s="78" t="s">
        <v>39</v>
      </c>
      <c r="C332" s="100" t="s">
        <v>129</v>
      </c>
      <c r="D332" s="104">
        <f>D330*2</f>
        <v>18.22</v>
      </c>
      <c r="E332" s="26">
        <v>0.05</v>
      </c>
      <c r="F332" s="79">
        <f t="shared" si="12"/>
        <v>19.131</v>
      </c>
      <c r="G332" s="90" t="s">
        <v>47</v>
      </c>
      <c r="H332" s="80">
        <v>1.1000000000000001</v>
      </c>
      <c r="I332" s="80">
        <f t="shared" si="13"/>
        <v>21.0441</v>
      </c>
      <c r="J332" s="80">
        <v>0.95</v>
      </c>
      <c r="K332" s="80">
        <f t="shared" si="14"/>
        <v>18.17445</v>
      </c>
      <c r="L332" s="27">
        <f t="shared" si="15"/>
        <v>2.0499999999999998</v>
      </c>
      <c r="M332" s="81">
        <f t="shared" si="16"/>
        <v>39.21855</v>
      </c>
      <c r="N332" s="82"/>
      <c r="O332" s="3"/>
      <c r="P332" s="3"/>
      <c r="S332" s="35"/>
    </row>
    <row r="333" spans="1:19" s="4" customFormat="1" ht="15.75" customHeight="1">
      <c r="A333" s="78" t="s">
        <v>38</v>
      </c>
      <c r="B333" s="78" t="s">
        <v>39</v>
      </c>
      <c r="C333" s="100" t="s">
        <v>138</v>
      </c>
      <c r="D333" s="104">
        <f>9*10.5*2/32</f>
        <v>5.90625</v>
      </c>
      <c r="E333" s="26">
        <v>0.05</v>
      </c>
      <c r="F333" s="79">
        <f t="shared" ref="F333:F334" si="236">D333*(1+E333)</f>
        <v>6.2015625000000005</v>
      </c>
      <c r="G333" s="90" t="s">
        <v>41</v>
      </c>
      <c r="H333" s="80">
        <f>0.22*32</f>
        <v>7.04</v>
      </c>
      <c r="I333" s="80">
        <f t="shared" si="13"/>
        <v>43.659000000000006</v>
      </c>
      <c r="J333" s="80">
        <f>0.34*32</f>
        <v>10.88</v>
      </c>
      <c r="K333" s="80">
        <f t="shared" ref="K333:K334" si="237">J333*F333</f>
        <v>67.473000000000013</v>
      </c>
      <c r="L333" s="27">
        <f t="shared" ref="L333:L334" si="238">(H333+J333)</f>
        <v>17.920000000000002</v>
      </c>
      <c r="M333" s="81">
        <f t="shared" ref="M333:M334" si="239">L333*F333</f>
        <v>111.13200000000002</v>
      </c>
      <c r="N333" s="82"/>
      <c r="O333" s="3"/>
      <c r="P333" s="3"/>
      <c r="S333" s="35"/>
    </row>
    <row r="334" spans="1:19" s="4" customFormat="1" ht="15.75" customHeight="1">
      <c r="A334" s="78" t="s">
        <v>38</v>
      </c>
      <c r="B334" s="78" t="s">
        <v>39</v>
      </c>
      <c r="C334" s="100" t="s">
        <v>131</v>
      </c>
      <c r="D334" s="104">
        <f>9*2</f>
        <v>18</v>
      </c>
      <c r="E334" s="26">
        <v>0.05</v>
      </c>
      <c r="F334" s="79">
        <f t="shared" si="236"/>
        <v>18.900000000000002</v>
      </c>
      <c r="G334" s="90" t="s">
        <v>47</v>
      </c>
      <c r="H334" s="80">
        <v>7.0000000000000007E-2</v>
      </c>
      <c r="I334" s="80">
        <f t="shared" ref="I334" si="240">H334*F334</f>
        <v>1.3230000000000002</v>
      </c>
      <c r="J334" s="80">
        <v>0.1</v>
      </c>
      <c r="K334" s="80">
        <f t="shared" si="237"/>
        <v>1.8900000000000003</v>
      </c>
      <c r="L334" s="27">
        <f t="shared" si="238"/>
        <v>0.17</v>
      </c>
      <c r="M334" s="81">
        <f t="shared" si="239"/>
        <v>3.2130000000000005</v>
      </c>
      <c r="N334" s="82"/>
      <c r="O334" s="3"/>
      <c r="P334" s="3"/>
      <c r="S334" s="35"/>
    </row>
    <row r="335" spans="1:19" s="4" customFormat="1" ht="15.75" customHeight="1">
      <c r="A335" s="78" t="s">
        <v>38</v>
      </c>
      <c r="B335" s="78" t="s">
        <v>39</v>
      </c>
      <c r="C335" s="100" t="s">
        <v>155</v>
      </c>
      <c r="D335" s="104">
        <f>9*10.5</f>
        <v>94.5</v>
      </c>
      <c r="E335" s="26">
        <v>0.05</v>
      </c>
      <c r="F335" s="79">
        <f t="shared" ref="F335" si="241">D335*(1+E335)</f>
        <v>99.225000000000009</v>
      </c>
      <c r="G335" s="90" t="s">
        <v>49</v>
      </c>
      <c r="H335" s="80">
        <v>0.55000000000000004</v>
      </c>
      <c r="I335" s="80">
        <f t="shared" ref="I335" si="242">H335*F335</f>
        <v>54.573750000000011</v>
      </c>
      <c r="J335" s="80">
        <v>0.5</v>
      </c>
      <c r="K335" s="80">
        <f t="shared" ref="K335" si="243">J335*F335</f>
        <v>49.612500000000004</v>
      </c>
      <c r="L335" s="27">
        <f t="shared" ref="L335" si="244">(H335+J335)</f>
        <v>1.05</v>
      </c>
      <c r="M335" s="81">
        <f t="shared" ref="M335" si="245">L335*F335</f>
        <v>104.18625000000002</v>
      </c>
      <c r="N335" s="82"/>
      <c r="O335" s="3"/>
      <c r="P335" s="3"/>
      <c r="S335" s="35"/>
    </row>
    <row r="336" spans="1:19" s="4" customFormat="1" ht="15.75" customHeight="1">
      <c r="A336" s="78"/>
      <c r="B336" s="78"/>
      <c r="C336" s="100"/>
      <c r="D336" s="104"/>
      <c r="E336" s="26"/>
      <c r="F336" s="79"/>
      <c r="G336" s="90"/>
      <c r="H336" s="80"/>
      <c r="I336" s="80"/>
      <c r="J336" s="80"/>
      <c r="K336" s="80"/>
      <c r="L336" s="27"/>
      <c r="M336" s="81"/>
      <c r="N336" s="82"/>
      <c r="O336" s="3"/>
      <c r="P336" s="3"/>
      <c r="S336" s="35"/>
    </row>
    <row r="337" spans="1:19" s="4" customFormat="1" ht="15.75" customHeight="1">
      <c r="A337" s="78" t="s">
        <v>38</v>
      </c>
      <c r="B337" s="78" t="s">
        <v>39</v>
      </c>
      <c r="C337" s="106" t="s">
        <v>176</v>
      </c>
      <c r="D337" s="104">
        <v>40.89</v>
      </c>
      <c r="E337" s="26">
        <v>0.05</v>
      </c>
      <c r="F337" s="79">
        <f t="shared" si="12"/>
        <v>42.9345</v>
      </c>
      <c r="G337" s="90" t="s">
        <v>47</v>
      </c>
      <c r="H337" s="80">
        <v>0</v>
      </c>
      <c r="I337" s="80">
        <f t="shared" si="13"/>
        <v>0</v>
      </c>
      <c r="J337" s="80">
        <v>0</v>
      </c>
      <c r="K337" s="80">
        <f t="shared" si="14"/>
        <v>0</v>
      </c>
      <c r="L337" s="27">
        <f t="shared" si="15"/>
        <v>0</v>
      </c>
      <c r="M337" s="81">
        <f t="shared" si="16"/>
        <v>0</v>
      </c>
      <c r="N337" s="82"/>
      <c r="O337" s="3"/>
      <c r="P337" s="3"/>
      <c r="S337" s="35"/>
    </row>
    <row r="338" spans="1:19" s="4" customFormat="1" ht="15.75" customHeight="1">
      <c r="A338" s="78" t="s">
        <v>38</v>
      </c>
      <c r="B338" s="78" t="s">
        <v>39</v>
      </c>
      <c r="C338" s="100" t="s">
        <v>128</v>
      </c>
      <c r="D338" s="104">
        <f>D337*10</f>
        <v>408.9</v>
      </c>
      <c r="E338" s="26">
        <v>0.05</v>
      </c>
      <c r="F338" s="79">
        <f t="shared" si="12"/>
        <v>429.34499999999997</v>
      </c>
      <c r="G338" s="90" t="s">
        <v>49</v>
      </c>
      <c r="H338" s="80">
        <v>1.5</v>
      </c>
      <c r="I338" s="80">
        <f t="shared" si="13"/>
        <v>644.01749999999993</v>
      </c>
      <c r="J338" s="80">
        <v>1.1499999999999999</v>
      </c>
      <c r="K338" s="80">
        <f t="shared" si="14"/>
        <v>493.74674999999991</v>
      </c>
      <c r="L338" s="27">
        <f t="shared" si="15"/>
        <v>2.65</v>
      </c>
      <c r="M338" s="81">
        <f t="shared" si="16"/>
        <v>1137.7642499999999</v>
      </c>
      <c r="N338" s="82"/>
      <c r="O338" s="3"/>
      <c r="P338" s="3"/>
      <c r="S338" s="35"/>
    </row>
    <row r="339" spans="1:19" s="4" customFormat="1" ht="15.75" customHeight="1">
      <c r="A339" s="78" t="s">
        <v>38</v>
      </c>
      <c r="B339" s="78" t="s">
        <v>39</v>
      </c>
      <c r="C339" s="100" t="s">
        <v>129</v>
      </c>
      <c r="D339" s="104">
        <f>D337*2</f>
        <v>81.78</v>
      </c>
      <c r="E339" s="26">
        <v>0.05</v>
      </c>
      <c r="F339" s="79">
        <f t="shared" si="12"/>
        <v>85.869</v>
      </c>
      <c r="G339" s="90" t="s">
        <v>47</v>
      </c>
      <c r="H339" s="80">
        <v>1.1000000000000001</v>
      </c>
      <c r="I339" s="80">
        <f t="shared" si="13"/>
        <v>94.455900000000014</v>
      </c>
      <c r="J339" s="80">
        <v>0.95</v>
      </c>
      <c r="K339" s="80">
        <f t="shared" si="14"/>
        <v>81.575549999999993</v>
      </c>
      <c r="L339" s="27">
        <f t="shared" si="15"/>
        <v>2.0499999999999998</v>
      </c>
      <c r="M339" s="81">
        <f t="shared" si="16"/>
        <v>176.03144999999998</v>
      </c>
      <c r="N339" s="82"/>
      <c r="O339" s="3"/>
      <c r="P339" s="3"/>
      <c r="S339" s="35"/>
    </row>
    <row r="340" spans="1:19" s="4" customFormat="1" ht="15.75" customHeight="1">
      <c r="A340" s="78" t="s">
        <v>38</v>
      </c>
      <c r="B340" s="78" t="s">
        <v>39</v>
      </c>
      <c r="C340" s="100" t="s">
        <v>138</v>
      </c>
      <c r="D340" s="104">
        <f>41*10.5/32-D341</f>
        <v>8.328125</v>
      </c>
      <c r="E340" s="26">
        <v>0.05</v>
      </c>
      <c r="F340" s="79">
        <f t="shared" si="12"/>
        <v>8.7445312499999996</v>
      </c>
      <c r="G340" s="90" t="s">
        <v>41</v>
      </c>
      <c r="H340" s="80">
        <f t="shared" ref="H340:H341" si="246">0.22*32</f>
        <v>7.04</v>
      </c>
      <c r="I340" s="80">
        <f t="shared" si="13"/>
        <v>61.561499999999995</v>
      </c>
      <c r="J340" s="80">
        <f t="shared" ref="J340:J341" si="247">0.34*32</f>
        <v>10.88</v>
      </c>
      <c r="K340" s="80">
        <f t="shared" si="14"/>
        <v>95.140500000000003</v>
      </c>
      <c r="L340" s="27">
        <f t="shared" si="15"/>
        <v>17.920000000000002</v>
      </c>
      <c r="M340" s="81">
        <f t="shared" si="16"/>
        <v>156.702</v>
      </c>
      <c r="N340" s="82"/>
      <c r="O340" s="3"/>
      <c r="P340" s="3"/>
      <c r="S340" s="35"/>
    </row>
    <row r="341" spans="1:19" s="4" customFormat="1" ht="15.75" customHeight="1">
      <c r="A341" s="78" t="s">
        <v>38</v>
      </c>
      <c r="B341" s="78" t="s">
        <v>39</v>
      </c>
      <c r="C341" s="100" t="s">
        <v>166</v>
      </c>
      <c r="D341" s="104">
        <f>41*4/32</f>
        <v>5.125</v>
      </c>
      <c r="E341" s="26">
        <v>0.05</v>
      </c>
      <c r="F341" s="79">
        <f t="shared" si="12"/>
        <v>5.3812500000000005</v>
      </c>
      <c r="G341" s="90" t="s">
        <v>41</v>
      </c>
      <c r="H341" s="80">
        <f t="shared" si="246"/>
        <v>7.04</v>
      </c>
      <c r="I341" s="80">
        <f t="shared" si="13"/>
        <v>37.884000000000007</v>
      </c>
      <c r="J341" s="80">
        <f t="shared" si="247"/>
        <v>10.88</v>
      </c>
      <c r="K341" s="80">
        <f t="shared" si="14"/>
        <v>58.548000000000009</v>
      </c>
      <c r="L341" s="27">
        <f t="shared" si="15"/>
        <v>17.920000000000002</v>
      </c>
      <c r="M341" s="81">
        <f t="shared" si="16"/>
        <v>96.432000000000016</v>
      </c>
      <c r="N341" s="82"/>
      <c r="O341" s="3"/>
      <c r="P341" s="3"/>
      <c r="S341" s="35"/>
    </row>
    <row r="342" spans="1:19" s="4" customFormat="1" ht="15.75" customHeight="1">
      <c r="A342" s="78" t="s">
        <v>38</v>
      </c>
      <c r="B342" s="78" t="s">
        <v>39</v>
      </c>
      <c r="C342" s="100" t="s">
        <v>131</v>
      </c>
      <c r="D342" s="104">
        <f>41*2</f>
        <v>82</v>
      </c>
      <c r="E342" s="26">
        <v>0.05</v>
      </c>
      <c r="F342" s="79">
        <f t="shared" si="12"/>
        <v>86.100000000000009</v>
      </c>
      <c r="G342" s="90" t="s">
        <v>47</v>
      </c>
      <c r="H342" s="80">
        <v>7.0000000000000007E-2</v>
      </c>
      <c r="I342" s="80">
        <f t="shared" si="13"/>
        <v>6.027000000000001</v>
      </c>
      <c r="J342" s="80">
        <v>0.1</v>
      </c>
      <c r="K342" s="80">
        <f t="shared" si="14"/>
        <v>8.6100000000000012</v>
      </c>
      <c r="L342" s="27">
        <f t="shared" si="15"/>
        <v>0.17</v>
      </c>
      <c r="M342" s="81">
        <f t="shared" si="16"/>
        <v>14.637000000000002</v>
      </c>
      <c r="N342" s="82"/>
      <c r="O342" s="3"/>
      <c r="P342" s="3"/>
      <c r="S342" s="35"/>
    </row>
    <row r="343" spans="1:19" s="4" customFormat="1" ht="15.75" customHeight="1">
      <c r="A343" s="78" t="s">
        <v>38</v>
      </c>
      <c r="B343" s="78" t="s">
        <v>39</v>
      </c>
      <c r="C343" s="100" t="s">
        <v>155</v>
      </c>
      <c r="D343" s="104">
        <f>41*10.5</f>
        <v>430.5</v>
      </c>
      <c r="E343" s="26">
        <v>0.05</v>
      </c>
      <c r="F343" s="79">
        <f t="shared" ref="F343" si="248">D343*(1+E343)</f>
        <v>452.02500000000003</v>
      </c>
      <c r="G343" s="90" t="s">
        <v>49</v>
      </c>
      <c r="H343" s="80">
        <v>0.55000000000000004</v>
      </c>
      <c r="I343" s="80">
        <f t="shared" ref="I343" si="249">H343*F343</f>
        <v>248.61375000000004</v>
      </c>
      <c r="J343" s="80">
        <v>0.5</v>
      </c>
      <c r="K343" s="80">
        <f t="shared" ref="K343" si="250">J343*F343</f>
        <v>226.01250000000002</v>
      </c>
      <c r="L343" s="27">
        <f t="shared" ref="L343" si="251">(H343+J343)</f>
        <v>1.05</v>
      </c>
      <c r="M343" s="81">
        <f t="shared" ref="M343" si="252">L343*F343</f>
        <v>474.62625000000008</v>
      </c>
      <c r="N343" s="82"/>
      <c r="O343" s="3"/>
      <c r="P343" s="3"/>
      <c r="S343" s="35"/>
    </row>
    <row r="344" spans="1:19" s="4" customFormat="1" ht="15.75" customHeight="1">
      <c r="A344" s="78"/>
      <c r="B344" s="78"/>
      <c r="C344" s="100"/>
      <c r="D344" s="104"/>
      <c r="E344" s="26"/>
      <c r="F344" s="79"/>
      <c r="G344" s="90"/>
      <c r="H344" s="80"/>
      <c r="I344" s="80"/>
      <c r="J344" s="80"/>
      <c r="K344" s="80"/>
      <c r="L344" s="27"/>
      <c r="M344" s="81"/>
      <c r="N344" s="82"/>
      <c r="O344" s="3"/>
      <c r="P344" s="3"/>
      <c r="S344" s="35"/>
    </row>
    <row r="345" spans="1:19" s="4" customFormat="1" ht="15.75" customHeight="1">
      <c r="A345" s="78"/>
      <c r="B345" s="78"/>
      <c r="C345" s="106" t="s">
        <v>177</v>
      </c>
      <c r="D345" s="104">
        <v>11.99</v>
      </c>
      <c r="E345" s="26"/>
      <c r="F345" s="79"/>
      <c r="G345" s="90"/>
      <c r="H345" s="80"/>
      <c r="I345" s="80"/>
      <c r="J345" s="80"/>
      <c r="K345" s="80"/>
      <c r="L345" s="27"/>
      <c r="M345" s="81"/>
      <c r="N345" s="82"/>
      <c r="O345" s="3"/>
      <c r="P345" s="3"/>
      <c r="S345" s="35"/>
    </row>
    <row r="346" spans="1:19" s="4" customFormat="1" ht="15.75" customHeight="1">
      <c r="A346" s="78" t="s">
        <v>38</v>
      </c>
      <c r="B346" s="78" t="s">
        <v>39</v>
      </c>
      <c r="C346" s="100" t="s">
        <v>137</v>
      </c>
      <c r="D346" s="104">
        <f>D345*11.5</f>
        <v>137.88499999999999</v>
      </c>
      <c r="E346" s="26">
        <v>0.05</v>
      </c>
      <c r="F346" s="79">
        <f t="shared" ref="F346:F355" si="253">D346*(1+E346)</f>
        <v>144.77924999999999</v>
      </c>
      <c r="G346" s="90" t="s">
        <v>49</v>
      </c>
      <c r="H346" s="80">
        <v>1.5</v>
      </c>
      <c r="I346" s="80">
        <f t="shared" ref="I346:I355" si="254">H346*F346</f>
        <v>217.16887499999999</v>
      </c>
      <c r="J346" s="80">
        <v>1.1499999999999999</v>
      </c>
      <c r="K346" s="80">
        <f t="shared" ref="K346:K355" si="255">J346*F346</f>
        <v>166.49613749999997</v>
      </c>
      <c r="L346" s="27">
        <f t="shared" ref="L346:L351" si="256">(H346+J346)</f>
        <v>2.65</v>
      </c>
      <c r="M346" s="81">
        <f t="shared" ref="M346:M355" si="257">L346*F346</f>
        <v>383.66501249999999</v>
      </c>
      <c r="N346" s="82"/>
      <c r="O346" s="3"/>
      <c r="P346" s="3"/>
      <c r="S346" s="35"/>
    </row>
    <row r="347" spans="1:19" s="4" customFormat="1" ht="15.75" customHeight="1">
      <c r="A347" s="78" t="s">
        <v>38</v>
      </c>
      <c r="B347" s="78" t="s">
        <v>39</v>
      </c>
      <c r="C347" s="100" t="s">
        <v>129</v>
      </c>
      <c r="D347" s="104">
        <f>D345*2</f>
        <v>23.98</v>
      </c>
      <c r="E347" s="26">
        <v>0.05</v>
      </c>
      <c r="F347" s="79">
        <f t="shared" si="253"/>
        <v>25.179000000000002</v>
      </c>
      <c r="G347" s="90" t="s">
        <v>47</v>
      </c>
      <c r="H347" s="80">
        <v>1.1000000000000001</v>
      </c>
      <c r="I347" s="80">
        <f t="shared" si="254"/>
        <v>27.696900000000003</v>
      </c>
      <c r="J347" s="80">
        <v>0.95</v>
      </c>
      <c r="K347" s="80">
        <f t="shared" si="255"/>
        <v>23.92005</v>
      </c>
      <c r="L347" s="27">
        <f t="shared" si="256"/>
        <v>2.0499999999999998</v>
      </c>
      <c r="M347" s="81">
        <f t="shared" si="257"/>
        <v>51.616950000000003</v>
      </c>
      <c r="N347" s="82"/>
      <c r="O347" s="3"/>
      <c r="P347" s="3"/>
      <c r="S347" s="35"/>
    </row>
    <row r="348" spans="1:19" s="4" customFormat="1" ht="15.75" customHeight="1">
      <c r="A348" s="78" t="s">
        <v>38</v>
      </c>
      <c r="B348" s="78" t="s">
        <v>39</v>
      </c>
      <c r="C348" s="100" t="s">
        <v>138</v>
      </c>
      <c r="D348" s="104">
        <f>12*30*2/32-D349</f>
        <v>21</v>
      </c>
      <c r="E348" s="26">
        <v>0.05</v>
      </c>
      <c r="F348" s="79">
        <f t="shared" si="253"/>
        <v>22.05</v>
      </c>
      <c r="G348" s="90" t="s">
        <v>41</v>
      </c>
      <c r="H348" s="80">
        <f t="shared" ref="H348:H349" si="258">0.22*32</f>
        <v>7.04</v>
      </c>
      <c r="I348" s="80">
        <f t="shared" si="254"/>
        <v>155.232</v>
      </c>
      <c r="J348" s="80">
        <f t="shared" ref="J348:J349" si="259">0.34*32</f>
        <v>10.88</v>
      </c>
      <c r="K348" s="80">
        <f t="shared" si="255"/>
        <v>239.90400000000002</v>
      </c>
      <c r="L348" s="27">
        <f t="shared" si="256"/>
        <v>17.920000000000002</v>
      </c>
      <c r="M348" s="81">
        <f t="shared" si="257"/>
        <v>395.13600000000002</v>
      </c>
      <c r="N348" s="82"/>
      <c r="O348" s="3"/>
      <c r="P348" s="3"/>
      <c r="S348" s="35"/>
    </row>
    <row r="349" spans="1:19" s="4" customFormat="1" ht="15.75" customHeight="1">
      <c r="A349" s="78" t="s">
        <v>38</v>
      </c>
      <c r="B349" s="78" t="s">
        <v>39</v>
      </c>
      <c r="C349" s="100" t="s">
        <v>166</v>
      </c>
      <c r="D349" s="104">
        <f>12*4/32</f>
        <v>1.5</v>
      </c>
      <c r="E349" s="26">
        <v>0.05</v>
      </c>
      <c r="F349" s="79">
        <f t="shared" si="253"/>
        <v>1.5750000000000002</v>
      </c>
      <c r="G349" s="90" t="s">
        <v>41</v>
      </c>
      <c r="H349" s="80">
        <f t="shared" si="258"/>
        <v>7.04</v>
      </c>
      <c r="I349" s="80">
        <f t="shared" si="254"/>
        <v>11.088000000000001</v>
      </c>
      <c r="J349" s="80">
        <f t="shared" si="259"/>
        <v>10.88</v>
      </c>
      <c r="K349" s="80">
        <f t="shared" si="255"/>
        <v>17.136000000000003</v>
      </c>
      <c r="L349" s="27">
        <f t="shared" si="256"/>
        <v>17.920000000000002</v>
      </c>
      <c r="M349" s="81">
        <f t="shared" si="257"/>
        <v>28.224000000000007</v>
      </c>
      <c r="N349" s="82"/>
      <c r="O349" s="3"/>
      <c r="P349" s="3"/>
      <c r="S349" s="35"/>
    </row>
    <row r="350" spans="1:19" s="4" customFormat="1" ht="15.75" customHeight="1">
      <c r="A350" s="78" t="s">
        <v>38</v>
      </c>
      <c r="B350" s="78" t="s">
        <v>39</v>
      </c>
      <c r="C350" s="100" t="s">
        <v>131</v>
      </c>
      <c r="D350" s="104">
        <f>12*4</f>
        <v>48</v>
      </c>
      <c r="E350" s="26">
        <v>0.05</v>
      </c>
      <c r="F350" s="79">
        <f t="shared" si="253"/>
        <v>50.400000000000006</v>
      </c>
      <c r="G350" s="90" t="s">
        <v>47</v>
      </c>
      <c r="H350" s="80">
        <v>7.0000000000000007E-2</v>
      </c>
      <c r="I350" s="80">
        <f t="shared" si="254"/>
        <v>3.5280000000000009</v>
      </c>
      <c r="J350" s="80">
        <v>0.1</v>
      </c>
      <c r="K350" s="80">
        <f t="shared" si="255"/>
        <v>5.0400000000000009</v>
      </c>
      <c r="L350" s="27">
        <f t="shared" si="256"/>
        <v>0.17</v>
      </c>
      <c r="M350" s="81">
        <f t="shared" si="257"/>
        <v>8.5680000000000014</v>
      </c>
      <c r="N350" s="82"/>
      <c r="O350" s="3"/>
      <c r="P350" s="3"/>
      <c r="S350" s="35"/>
    </row>
    <row r="351" spans="1:19" s="4" customFormat="1" ht="15.75" customHeight="1">
      <c r="A351" s="78" t="s">
        <v>38</v>
      </c>
      <c r="B351" s="78" t="s">
        <v>39</v>
      </c>
      <c r="C351" s="100" t="s">
        <v>155</v>
      </c>
      <c r="D351" s="104">
        <f>12*30</f>
        <v>360</v>
      </c>
      <c r="E351" s="26">
        <v>0.05</v>
      </c>
      <c r="F351" s="79">
        <f t="shared" si="253"/>
        <v>378</v>
      </c>
      <c r="G351" s="90" t="s">
        <v>49</v>
      </c>
      <c r="H351" s="80">
        <v>0.55000000000000004</v>
      </c>
      <c r="I351" s="80">
        <f t="shared" si="254"/>
        <v>207.9</v>
      </c>
      <c r="J351" s="80">
        <v>0.5</v>
      </c>
      <c r="K351" s="80">
        <f t="shared" si="255"/>
        <v>189</v>
      </c>
      <c r="L351" s="27">
        <f t="shared" si="256"/>
        <v>1.05</v>
      </c>
      <c r="M351" s="81">
        <f t="shared" si="257"/>
        <v>396.90000000000003</v>
      </c>
      <c r="N351" s="82"/>
      <c r="O351" s="3"/>
      <c r="P351" s="3"/>
      <c r="S351" s="35"/>
    </row>
    <row r="352" spans="1:19" s="4" customFormat="1" ht="15.75" customHeight="1">
      <c r="A352" s="78"/>
      <c r="B352" s="78"/>
      <c r="C352" s="100"/>
      <c r="D352" s="104"/>
      <c r="E352" s="26"/>
      <c r="F352" s="79"/>
      <c r="G352" s="90"/>
      <c r="H352" s="80"/>
      <c r="I352" s="80"/>
      <c r="J352" s="80"/>
      <c r="K352" s="80"/>
      <c r="L352" s="27"/>
      <c r="M352" s="81"/>
      <c r="N352" s="82"/>
      <c r="O352" s="3"/>
      <c r="P352" s="3"/>
      <c r="S352" s="35"/>
    </row>
    <row r="353" spans="1:19" s="4" customFormat="1" ht="15.75" customHeight="1">
      <c r="A353" s="78" t="s">
        <v>38</v>
      </c>
      <c r="B353" s="78" t="s">
        <v>39</v>
      </c>
      <c r="C353" s="112" t="s">
        <v>178</v>
      </c>
      <c r="D353" s="113">
        <f>(138542)*0.053</f>
        <v>7342.7259999999997</v>
      </c>
      <c r="E353" s="26">
        <v>0.05</v>
      </c>
      <c r="F353" s="24">
        <f t="shared" si="253"/>
        <v>7709.8622999999998</v>
      </c>
      <c r="G353" s="102" t="s">
        <v>179</v>
      </c>
      <c r="H353" s="80">
        <f t="shared" ref="H353:H355" si="260">J353*0.65445</f>
        <v>0.2945025</v>
      </c>
      <c r="I353" s="80">
        <f t="shared" si="254"/>
        <v>2270.5737220057499</v>
      </c>
      <c r="J353" s="80">
        <v>0.45</v>
      </c>
      <c r="K353" s="80">
        <f t="shared" si="255"/>
        <v>3469.4380350000001</v>
      </c>
      <c r="L353" s="27">
        <f t="shared" ref="L353:L355" si="261">H353+J353</f>
        <v>0.74450250000000007</v>
      </c>
      <c r="M353" s="114">
        <f t="shared" si="257"/>
        <v>5740.01175700575</v>
      </c>
      <c r="N353" s="115"/>
      <c r="O353" s="3"/>
      <c r="P353" s="3"/>
      <c r="S353" s="35"/>
    </row>
    <row r="354" spans="1:19" s="4" customFormat="1" ht="15.75" customHeight="1">
      <c r="A354" s="78" t="s">
        <v>38</v>
      </c>
      <c r="B354" s="78" t="s">
        <v>39</v>
      </c>
      <c r="C354" s="112" t="s">
        <v>180</v>
      </c>
      <c r="D354" s="113">
        <f>(138542)/32*10</f>
        <v>43294.375</v>
      </c>
      <c r="E354" s="26">
        <v>0.05</v>
      </c>
      <c r="F354" s="24">
        <f t="shared" si="253"/>
        <v>45459.09375</v>
      </c>
      <c r="G354" s="102" t="s">
        <v>47</v>
      </c>
      <c r="H354" s="80">
        <f t="shared" si="260"/>
        <v>3.2722500000000002E-2</v>
      </c>
      <c r="I354" s="80">
        <f t="shared" si="254"/>
        <v>1487.5351952343751</v>
      </c>
      <c r="J354" s="80">
        <v>0.05</v>
      </c>
      <c r="K354" s="80">
        <f t="shared" si="255"/>
        <v>2272.9546875000001</v>
      </c>
      <c r="L354" s="27">
        <f t="shared" si="261"/>
        <v>8.2722500000000004E-2</v>
      </c>
      <c r="M354" s="114">
        <f t="shared" si="257"/>
        <v>3760.489882734375</v>
      </c>
      <c r="N354" s="115"/>
      <c r="O354" s="3"/>
      <c r="P354" s="3"/>
      <c r="S354" s="35"/>
    </row>
    <row r="355" spans="1:19" s="4" customFormat="1" ht="15.75" customHeight="1">
      <c r="A355" s="78" t="s">
        <v>38</v>
      </c>
      <c r="B355" s="78" t="s">
        <v>39</v>
      </c>
      <c r="C355" s="112" t="s">
        <v>181</v>
      </c>
      <c r="D355" s="113">
        <f>(138542)/32*45</f>
        <v>194824.6875</v>
      </c>
      <c r="E355" s="26">
        <v>0.05</v>
      </c>
      <c r="F355" s="24">
        <f t="shared" si="253"/>
        <v>204565.921875</v>
      </c>
      <c r="G355" s="102" t="s">
        <v>41</v>
      </c>
      <c r="H355" s="80">
        <f t="shared" si="260"/>
        <v>1.9633499999999998E-2</v>
      </c>
      <c r="I355" s="80">
        <f t="shared" si="254"/>
        <v>4016.345027132812</v>
      </c>
      <c r="J355" s="80">
        <v>0.03</v>
      </c>
      <c r="K355" s="80">
        <f t="shared" si="255"/>
        <v>6136.9776562500001</v>
      </c>
      <c r="L355" s="27">
        <f t="shared" si="261"/>
        <v>4.9633499999999997E-2</v>
      </c>
      <c r="M355" s="114">
        <f t="shared" si="257"/>
        <v>10153.322683382812</v>
      </c>
      <c r="N355" s="115"/>
      <c r="O355" s="3"/>
      <c r="P355" s="3"/>
      <c r="S355" s="35"/>
    </row>
    <row r="356" spans="1:19" s="4" customFormat="1" ht="15.75" customHeight="1">
      <c r="A356" s="78"/>
      <c r="B356" s="78"/>
      <c r="C356" s="100"/>
      <c r="D356" s="104"/>
      <c r="E356" s="26"/>
      <c r="F356" s="79"/>
      <c r="G356" s="90"/>
      <c r="H356" s="80"/>
      <c r="I356" s="80"/>
      <c r="J356" s="80"/>
      <c r="K356" s="80"/>
      <c r="L356" s="27"/>
      <c r="M356" s="81"/>
      <c r="N356" s="82"/>
      <c r="O356" s="3"/>
      <c r="P356" s="3"/>
      <c r="S356" s="35"/>
    </row>
    <row r="357" spans="1:19" s="4" customFormat="1" ht="15.75" customHeight="1">
      <c r="A357" s="78"/>
      <c r="B357" s="78"/>
      <c r="C357" s="100"/>
      <c r="D357" s="104"/>
      <c r="E357" s="26"/>
      <c r="F357" s="79"/>
      <c r="G357" s="90"/>
      <c r="H357" s="80"/>
      <c r="I357" s="80"/>
      <c r="J357" s="80"/>
      <c r="K357" s="80"/>
      <c r="L357" s="27"/>
      <c r="M357" s="81"/>
      <c r="N357" s="82"/>
      <c r="O357" s="3"/>
      <c r="P357" s="3"/>
      <c r="S357" s="35"/>
    </row>
    <row r="358" spans="1:19" s="4" customFormat="1" ht="15.75" customHeight="1">
      <c r="A358" s="78"/>
      <c r="B358" s="78"/>
      <c r="C358" s="99" t="s">
        <v>182</v>
      </c>
      <c r="D358" s="104"/>
      <c r="E358" s="26"/>
      <c r="F358" s="79"/>
      <c r="G358" s="90"/>
      <c r="H358" s="80"/>
      <c r="I358" s="80"/>
      <c r="J358" s="80"/>
      <c r="K358" s="80"/>
      <c r="L358" s="27"/>
      <c r="M358" s="81"/>
      <c r="N358" s="82"/>
      <c r="O358" s="3"/>
      <c r="P358" s="3"/>
      <c r="S358" s="35"/>
    </row>
    <row r="359" spans="1:19" s="4" customFormat="1" ht="78.75">
      <c r="A359" s="78" t="s">
        <v>38</v>
      </c>
      <c r="B359" s="78" t="s">
        <v>39</v>
      </c>
      <c r="C359" s="103" t="s">
        <v>183</v>
      </c>
      <c r="D359" s="104">
        <v>8394</v>
      </c>
      <c r="E359" s="26">
        <v>0.05</v>
      </c>
      <c r="F359" s="79">
        <f t="shared" si="12"/>
        <v>8813.7000000000007</v>
      </c>
      <c r="G359" s="90" t="s">
        <v>49</v>
      </c>
      <c r="H359" s="80">
        <v>0.51</v>
      </c>
      <c r="I359" s="80">
        <f t="shared" si="13"/>
        <v>4494.9870000000001</v>
      </c>
      <c r="J359" s="80">
        <v>1</v>
      </c>
      <c r="K359" s="80">
        <f t="shared" si="14"/>
        <v>8813.7000000000007</v>
      </c>
      <c r="L359" s="27">
        <f t="shared" si="15"/>
        <v>1.51</v>
      </c>
      <c r="M359" s="81">
        <f t="shared" si="16"/>
        <v>13308.687000000002</v>
      </c>
      <c r="N359" s="82"/>
      <c r="O359" s="3"/>
      <c r="P359" s="3"/>
      <c r="S359" s="35"/>
    </row>
    <row r="360" spans="1:19" s="4" customFormat="1" ht="110.25">
      <c r="A360" s="78" t="s">
        <v>38</v>
      </c>
      <c r="B360" s="78" t="s">
        <v>39</v>
      </c>
      <c r="C360" s="103" t="s">
        <v>184</v>
      </c>
      <c r="D360" s="104">
        <v>8051.9</v>
      </c>
      <c r="E360" s="26">
        <v>0.05</v>
      </c>
      <c r="F360" s="79">
        <f>D360*(1+E360)</f>
        <v>8454.4950000000008</v>
      </c>
      <c r="G360" s="90" t="s">
        <v>49</v>
      </c>
      <c r="H360" s="80">
        <v>0.62</v>
      </c>
      <c r="I360" s="80">
        <f>H360*F360</f>
        <v>5241.7869000000001</v>
      </c>
      <c r="J360" s="80">
        <v>1.1000000000000001</v>
      </c>
      <c r="K360" s="80">
        <f>J360*F360</f>
        <v>9299.9445000000014</v>
      </c>
      <c r="L360" s="27">
        <f>(H360+J360)</f>
        <v>1.7200000000000002</v>
      </c>
      <c r="M360" s="81">
        <f>L360*F360</f>
        <v>14541.731400000002</v>
      </c>
      <c r="N360" s="82"/>
      <c r="O360" s="3"/>
      <c r="P360" s="3"/>
      <c r="S360" s="35"/>
    </row>
    <row r="361" spans="1:19" s="4" customFormat="1" ht="63">
      <c r="A361" s="78" t="s">
        <v>38</v>
      </c>
      <c r="B361" s="78" t="s">
        <v>39</v>
      </c>
      <c r="C361" s="103" t="s">
        <v>185</v>
      </c>
      <c r="D361" s="104">
        <v>393.44</v>
      </c>
      <c r="E361" s="26">
        <v>0.05</v>
      </c>
      <c r="F361" s="79">
        <f>D361*(1+E361)</f>
        <v>413.11200000000002</v>
      </c>
      <c r="G361" s="90" t="s">
        <v>49</v>
      </c>
      <c r="H361" s="80">
        <v>0.51</v>
      </c>
      <c r="I361" s="80">
        <f>H361*F361</f>
        <v>210.68712000000002</v>
      </c>
      <c r="J361" s="80">
        <v>1</v>
      </c>
      <c r="K361" s="80">
        <f>J361*F361</f>
        <v>413.11200000000002</v>
      </c>
      <c r="L361" s="27">
        <f>(H361+J361)</f>
        <v>1.51</v>
      </c>
      <c r="M361" s="81">
        <f>L361*F361</f>
        <v>623.79912000000002</v>
      </c>
      <c r="N361" s="82"/>
      <c r="O361" s="3"/>
      <c r="P361" s="3"/>
      <c r="S361" s="35"/>
    </row>
    <row r="362" spans="1:19" s="4" customFormat="1" ht="94.5">
      <c r="A362" s="78" t="s">
        <v>38</v>
      </c>
      <c r="B362" s="78" t="s">
        <v>39</v>
      </c>
      <c r="C362" s="103" t="s">
        <v>186</v>
      </c>
      <c r="D362" s="104">
        <v>7832.83</v>
      </c>
      <c r="E362" s="26">
        <v>0.05</v>
      </c>
      <c r="F362" s="79">
        <f>D362*(1+E362)</f>
        <v>8224.4714999999997</v>
      </c>
      <c r="G362" s="90" t="s">
        <v>49</v>
      </c>
      <c r="H362" s="80">
        <v>0.62</v>
      </c>
      <c r="I362" s="80">
        <f>H362*F362</f>
        <v>5099.1723299999994</v>
      </c>
      <c r="J362" s="80">
        <v>1.1000000000000001</v>
      </c>
      <c r="K362" s="80">
        <f>J362*F362</f>
        <v>9046.9186499999996</v>
      </c>
      <c r="L362" s="27">
        <f>(H362+J362)</f>
        <v>1.7200000000000002</v>
      </c>
      <c r="M362" s="81">
        <f>L362*F362</f>
        <v>14146.090980000001</v>
      </c>
      <c r="N362" s="82"/>
      <c r="O362" s="3"/>
      <c r="P362" s="3"/>
      <c r="S362" s="35"/>
    </row>
    <row r="363" spans="1:19" s="4" customFormat="1">
      <c r="A363" s="78"/>
      <c r="B363" s="78"/>
      <c r="C363" s="103"/>
      <c r="D363" s="104"/>
      <c r="E363" s="26"/>
      <c r="F363" s="79"/>
      <c r="G363" s="90"/>
      <c r="H363" s="80"/>
      <c r="I363" s="80"/>
      <c r="J363" s="80"/>
      <c r="K363" s="80"/>
      <c r="L363" s="27"/>
      <c r="M363" s="81"/>
      <c r="N363" s="82"/>
      <c r="O363" s="3"/>
      <c r="P363" s="3"/>
      <c r="S363" s="35"/>
    </row>
    <row r="364" spans="1:19" s="4" customFormat="1">
      <c r="A364" s="78"/>
      <c r="B364" s="78"/>
      <c r="C364" s="99" t="s">
        <v>187</v>
      </c>
      <c r="D364" s="104"/>
      <c r="E364" s="26"/>
      <c r="F364" s="79"/>
      <c r="G364" s="90"/>
      <c r="H364" s="80"/>
      <c r="I364" s="80"/>
      <c r="J364" s="80"/>
      <c r="K364" s="80"/>
      <c r="L364" s="27"/>
      <c r="M364" s="81"/>
      <c r="N364" s="82"/>
      <c r="O364" s="3"/>
      <c r="P364" s="3"/>
      <c r="S364" s="35"/>
    </row>
    <row r="365" spans="1:19" s="4" customFormat="1" ht="94.5">
      <c r="A365" s="78" t="s">
        <v>38</v>
      </c>
      <c r="B365" s="78" t="s">
        <v>39</v>
      </c>
      <c r="C365" s="103" t="s">
        <v>188</v>
      </c>
      <c r="D365" s="104">
        <v>5683.61</v>
      </c>
      <c r="E365" s="26">
        <v>0.05</v>
      </c>
      <c r="F365" s="79">
        <f>D365*(1+E365)</f>
        <v>5967.7905000000001</v>
      </c>
      <c r="G365" s="90" t="s">
        <v>49</v>
      </c>
      <c r="H365" s="80">
        <v>2.5</v>
      </c>
      <c r="I365" s="80">
        <f>H365*F365</f>
        <v>14919.47625</v>
      </c>
      <c r="J365" s="80">
        <v>4.8</v>
      </c>
      <c r="K365" s="80">
        <f>J365*F365</f>
        <v>28645.394400000001</v>
      </c>
      <c r="L365" s="27">
        <f>(H365+J365)</f>
        <v>7.3</v>
      </c>
      <c r="M365" s="81">
        <f>L365*F365</f>
        <v>43564.870649999997</v>
      </c>
      <c r="N365" s="82"/>
      <c r="O365" s="3"/>
      <c r="P365" s="3"/>
      <c r="S365" s="35"/>
    </row>
    <row r="366" spans="1:19" s="4" customFormat="1" ht="94.5">
      <c r="A366" s="78" t="s">
        <v>38</v>
      </c>
      <c r="B366" s="78" t="s">
        <v>39</v>
      </c>
      <c r="C366" s="103" t="s">
        <v>189</v>
      </c>
      <c r="D366" s="104">
        <v>11066.84</v>
      </c>
      <c r="E366" s="26">
        <v>0.05</v>
      </c>
      <c r="F366" s="79">
        <f t="shared" si="12"/>
        <v>11620.182000000001</v>
      </c>
      <c r="G366" s="90" t="s">
        <v>49</v>
      </c>
      <c r="H366" s="80">
        <v>2.5</v>
      </c>
      <c r="I366" s="80">
        <f t="shared" si="13"/>
        <v>29050.455000000002</v>
      </c>
      <c r="J366" s="80">
        <v>4.8</v>
      </c>
      <c r="K366" s="80">
        <f t="shared" si="14"/>
        <v>55776.873599999999</v>
      </c>
      <c r="L366" s="27">
        <f t="shared" si="15"/>
        <v>7.3</v>
      </c>
      <c r="M366" s="81">
        <f t="shared" si="16"/>
        <v>84827.328600000008</v>
      </c>
      <c r="N366" s="82"/>
      <c r="O366" s="3"/>
      <c r="P366" s="3"/>
      <c r="S366" s="35"/>
    </row>
    <row r="367" spans="1:19" s="4" customFormat="1" ht="31.5">
      <c r="A367" s="78" t="s">
        <v>38</v>
      </c>
      <c r="B367" s="78" t="s">
        <v>39</v>
      </c>
      <c r="C367" s="103" t="s">
        <v>190</v>
      </c>
      <c r="D367" s="104">
        <v>390.12</v>
      </c>
      <c r="E367" s="26">
        <v>0.05</v>
      </c>
      <c r="F367" s="79">
        <f>D367*(1+E367)</f>
        <v>409.62600000000003</v>
      </c>
      <c r="G367" s="90" t="s">
        <v>49</v>
      </c>
      <c r="H367" s="80">
        <v>2.5</v>
      </c>
      <c r="I367" s="80">
        <f>H367*F367</f>
        <v>1024.0650000000001</v>
      </c>
      <c r="J367" s="80">
        <v>4.8</v>
      </c>
      <c r="K367" s="80">
        <f>J367*F367</f>
        <v>1966.2048</v>
      </c>
      <c r="L367" s="27">
        <f>(H367+J367)</f>
        <v>7.3</v>
      </c>
      <c r="M367" s="81">
        <f>L367*F367</f>
        <v>2990.2698</v>
      </c>
      <c r="N367" s="82"/>
      <c r="O367" s="3"/>
      <c r="P367" s="3"/>
      <c r="S367" s="35"/>
    </row>
    <row r="368" spans="1:19" s="4" customFormat="1" ht="63">
      <c r="A368" s="78" t="s">
        <v>38</v>
      </c>
      <c r="B368" s="78" t="s">
        <v>39</v>
      </c>
      <c r="C368" s="103" t="s">
        <v>191</v>
      </c>
      <c r="D368" s="104">
        <v>978.55</v>
      </c>
      <c r="E368" s="26">
        <v>0.05</v>
      </c>
      <c r="F368" s="79">
        <f>D368*(1+E368)</f>
        <v>1027.4775</v>
      </c>
      <c r="G368" s="90" t="s">
        <v>49</v>
      </c>
      <c r="H368" s="80">
        <v>2.5</v>
      </c>
      <c r="I368" s="80">
        <f>H368*F368</f>
        <v>2568.6937499999999</v>
      </c>
      <c r="J368" s="80">
        <v>4.8</v>
      </c>
      <c r="K368" s="80">
        <f>J368*F368</f>
        <v>4931.8919999999998</v>
      </c>
      <c r="L368" s="27">
        <f>(H368+J368)</f>
        <v>7.3</v>
      </c>
      <c r="M368" s="81">
        <f>L368*F368</f>
        <v>7500.5857499999993</v>
      </c>
      <c r="N368" s="82"/>
      <c r="O368" s="3"/>
      <c r="P368" s="3"/>
      <c r="S368" s="35"/>
    </row>
    <row r="369" spans="1:19" s="4" customFormat="1" ht="63">
      <c r="A369" s="78" t="s">
        <v>38</v>
      </c>
      <c r="B369" s="78" t="s">
        <v>39</v>
      </c>
      <c r="C369" s="103" t="s">
        <v>192</v>
      </c>
      <c r="D369" s="104">
        <v>95.23</v>
      </c>
      <c r="E369" s="26">
        <v>0.05</v>
      </c>
      <c r="F369" s="79">
        <f>D369*(1+E369)</f>
        <v>99.991500000000002</v>
      </c>
      <c r="G369" s="90" t="s">
        <v>49</v>
      </c>
      <c r="H369" s="80">
        <v>2.5</v>
      </c>
      <c r="I369" s="80">
        <f>H369*F369</f>
        <v>249.97874999999999</v>
      </c>
      <c r="J369" s="80">
        <v>4.8</v>
      </c>
      <c r="K369" s="80">
        <f>J369*F369</f>
        <v>479.95920000000001</v>
      </c>
      <c r="L369" s="27">
        <f>(H369+J369)</f>
        <v>7.3</v>
      </c>
      <c r="M369" s="81">
        <f>L369*F369</f>
        <v>729.93795</v>
      </c>
      <c r="N369" s="82"/>
      <c r="O369" s="3"/>
      <c r="P369" s="3"/>
      <c r="S369" s="35"/>
    </row>
    <row r="370" spans="1:19" s="4" customFormat="1" ht="110.25">
      <c r="A370" s="78" t="s">
        <v>38</v>
      </c>
      <c r="B370" s="78" t="s">
        <v>39</v>
      </c>
      <c r="C370" s="103" t="s">
        <v>193</v>
      </c>
      <c r="D370" s="104">
        <v>1010.92</v>
      </c>
      <c r="E370" s="26">
        <v>0.05</v>
      </c>
      <c r="F370" s="79">
        <f>D370*(1+E370)</f>
        <v>1061.4659999999999</v>
      </c>
      <c r="G370" s="90" t="s">
        <v>49</v>
      </c>
      <c r="H370" s="80">
        <v>2.5</v>
      </c>
      <c r="I370" s="80">
        <f>H370*F370</f>
        <v>2653.665</v>
      </c>
      <c r="J370" s="80">
        <v>4.8</v>
      </c>
      <c r="K370" s="80">
        <f>J370*F370</f>
        <v>5095.0367999999989</v>
      </c>
      <c r="L370" s="27">
        <f>(H370+J370)</f>
        <v>7.3</v>
      </c>
      <c r="M370" s="81">
        <f>L370*F370</f>
        <v>7748.7017999999989</v>
      </c>
      <c r="N370" s="82"/>
      <c r="O370" s="3"/>
      <c r="P370" s="3"/>
      <c r="S370" s="35"/>
    </row>
    <row r="371" spans="1:19" s="4" customFormat="1">
      <c r="A371" s="78"/>
      <c r="B371" s="78"/>
      <c r="C371" s="103"/>
      <c r="D371" s="104"/>
      <c r="E371" s="26"/>
      <c r="F371" s="79"/>
      <c r="G371" s="90"/>
      <c r="H371" s="80"/>
      <c r="I371" s="80"/>
      <c r="J371" s="80"/>
      <c r="K371" s="80"/>
      <c r="L371" s="27"/>
      <c r="M371" s="81"/>
      <c r="N371" s="82"/>
      <c r="O371" s="3"/>
      <c r="P371" s="3"/>
      <c r="S371" s="35"/>
    </row>
    <row r="372" spans="1:19" s="4" customFormat="1">
      <c r="A372" s="78"/>
      <c r="B372" s="78"/>
      <c r="C372" s="99" t="s">
        <v>194</v>
      </c>
      <c r="D372" s="104"/>
      <c r="E372" s="26"/>
      <c r="F372" s="79"/>
      <c r="G372" s="90"/>
      <c r="H372" s="80"/>
      <c r="I372" s="80"/>
      <c r="J372" s="80"/>
      <c r="K372" s="80"/>
      <c r="L372" s="27"/>
      <c r="M372" s="81"/>
      <c r="N372" s="82"/>
      <c r="O372" s="3"/>
      <c r="P372" s="3"/>
      <c r="S372" s="35"/>
    </row>
    <row r="373" spans="1:19" s="4" customFormat="1" ht="63">
      <c r="A373" s="78" t="s">
        <v>38</v>
      </c>
      <c r="B373" s="78" t="s">
        <v>39</v>
      </c>
      <c r="C373" s="103" t="s">
        <v>195</v>
      </c>
      <c r="D373" s="104">
        <v>876.23</v>
      </c>
      <c r="E373" s="26">
        <v>0.05</v>
      </c>
      <c r="F373" s="79">
        <f t="shared" si="12"/>
        <v>920.04150000000004</v>
      </c>
      <c r="G373" s="90" t="s">
        <v>49</v>
      </c>
      <c r="H373" s="80">
        <v>2.6</v>
      </c>
      <c r="I373" s="80">
        <f t="shared" si="13"/>
        <v>2392.1079</v>
      </c>
      <c r="J373" s="80">
        <v>4.5</v>
      </c>
      <c r="K373" s="80">
        <f t="shared" si="14"/>
        <v>4140.1867499999998</v>
      </c>
      <c r="L373" s="27">
        <f t="shared" si="15"/>
        <v>7.1</v>
      </c>
      <c r="M373" s="81">
        <f t="shared" si="16"/>
        <v>6532.2946499999998</v>
      </c>
      <c r="N373" s="82"/>
      <c r="O373" s="3"/>
      <c r="P373" s="3"/>
      <c r="S373" s="35"/>
    </row>
    <row r="374" spans="1:19" s="4" customFormat="1" ht="47.25">
      <c r="A374" s="78" t="s">
        <v>38</v>
      </c>
      <c r="B374" s="78" t="s">
        <v>39</v>
      </c>
      <c r="C374" s="103" t="s">
        <v>196</v>
      </c>
      <c r="D374" s="104">
        <v>146.83000000000001</v>
      </c>
      <c r="E374" s="26">
        <v>0.05</v>
      </c>
      <c r="F374" s="79">
        <f t="shared" si="12"/>
        <v>154.17150000000001</v>
      </c>
      <c r="G374" s="90" t="s">
        <v>49</v>
      </c>
      <c r="H374" s="80">
        <v>2.6</v>
      </c>
      <c r="I374" s="80">
        <f t="shared" ref="I374" si="262">H374*F374</f>
        <v>400.84590000000003</v>
      </c>
      <c r="J374" s="80">
        <v>4.5</v>
      </c>
      <c r="K374" s="80">
        <f t="shared" si="14"/>
        <v>693.77175</v>
      </c>
      <c r="L374" s="27">
        <f t="shared" si="15"/>
        <v>7.1</v>
      </c>
      <c r="M374" s="81">
        <f t="shared" si="16"/>
        <v>1094.6176499999999</v>
      </c>
      <c r="N374" s="82"/>
      <c r="O374" s="3"/>
      <c r="P374" s="3"/>
      <c r="S374" s="35"/>
    </row>
    <row r="375" spans="1:19" s="4" customFormat="1">
      <c r="A375" s="78"/>
      <c r="B375" s="78"/>
      <c r="C375" s="103"/>
      <c r="D375" s="104"/>
      <c r="E375" s="26"/>
      <c r="F375" s="79"/>
      <c r="G375" s="90"/>
      <c r="H375" s="80"/>
      <c r="I375" s="80"/>
      <c r="J375" s="80"/>
      <c r="K375" s="80"/>
      <c r="L375" s="27"/>
      <c r="M375" s="81"/>
      <c r="N375" s="82"/>
      <c r="O375" s="3"/>
      <c r="P375" s="3"/>
      <c r="S375" s="35"/>
    </row>
    <row r="376" spans="1:19" s="4" customFormat="1">
      <c r="A376" s="78"/>
      <c r="B376" s="78"/>
      <c r="C376" s="99" t="s">
        <v>197</v>
      </c>
      <c r="D376" s="104"/>
      <c r="E376" s="26"/>
      <c r="F376" s="79"/>
      <c r="G376" s="90"/>
      <c r="H376" s="80"/>
      <c r="I376" s="80"/>
      <c r="J376" s="80"/>
      <c r="K376" s="80"/>
      <c r="L376" s="27"/>
      <c r="M376" s="81"/>
      <c r="N376" s="82"/>
      <c r="O376" s="3"/>
      <c r="P376" s="3"/>
      <c r="S376" s="35"/>
    </row>
    <row r="377" spans="1:19" s="4" customFormat="1" ht="110.25">
      <c r="A377" s="78" t="s">
        <v>38</v>
      </c>
      <c r="B377" s="78" t="s">
        <v>39</v>
      </c>
      <c r="C377" s="103" t="s">
        <v>198</v>
      </c>
      <c r="D377" s="104">
        <v>784.2</v>
      </c>
      <c r="E377" s="26">
        <v>0.05</v>
      </c>
      <c r="F377" s="79">
        <f t="shared" si="12"/>
        <v>823.41000000000008</v>
      </c>
      <c r="G377" s="90" t="s">
        <v>49</v>
      </c>
      <c r="H377" s="80">
        <v>1.17</v>
      </c>
      <c r="I377" s="80">
        <f t="shared" si="13"/>
        <v>963.38970000000006</v>
      </c>
      <c r="J377" s="80">
        <v>2.2999999999999998</v>
      </c>
      <c r="K377" s="80">
        <f t="shared" si="14"/>
        <v>1893.8430000000001</v>
      </c>
      <c r="L377" s="27">
        <f t="shared" si="15"/>
        <v>3.4699999999999998</v>
      </c>
      <c r="M377" s="81">
        <f t="shared" si="16"/>
        <v>2857.2327</v>
      </c>
      <c r="N377" s="82"/>
      <c r="O377" s="3"/>
      <c r="P377" s="3"/>
      <c r="S377" s="35"/>
    </row>
    <row r="378" spans="1:19" s="4" customFormat="1" ht="63">
      <c r="A378" s="78" t="s">
        <v>38</v>
      </c>
      <c r="B378" s="78" t="s">
        <v>39</v>
      </c>
      <c r="C378" s="103" t="s">
        <v>199</v>
      </c>
      <c r="D378" s="104">
        <v>782.19</v>
      </c>
      <c r="E378" s="26">
        <v>0.05</v>
      </c>
      <c r="F378" s="79">
        <f t="shared" si="12"/>
        <v>821.29950000000008</v>
      </c>
      <c r="G378" s="90" t="s">
        <v>49</v>
      </c>
      <c r="H378" s="80">
        <v>1.17</v>
      </c>
      <c r="I378" s="80">
        <f t="shared" si="13"/>
        <v>960.92041500000005</v>
      </c>
      <c r="J378" s="80">
        <v>2.2999999999999998</v>
      </c>
      <c r="K378" s="80">
        <f t="shared" si="14"/>
        <v>1888.98885</v>
      </c>
      <c r="L378" s="27">
        <f t="shared" si="15"/>
        <v>3.4699999999999998</v>
      </c>
      <c r="M378" s="81">
        <f t="shared" si="16"/>
        <v>2849.9092650000002</v>
      </c>
      <c r="N378" s="82"/>
      <c r="O378" s="3"/>
      <c r="P378" s="3"/>
      <c r="S378" s="35"/>
    </row>
    <row r="379" spans="1:19" s="4" customFormat="1">
      <c r="A379" s="78"/>
      <c r="B379" s="78"/>
      <c r="C379" s="103"/>
      <c r="D379" s="104"/>
      <c r="E379" s="26"/>
      <c r="F379" s="79"/>
      <c r="G379" s="90"/>
      <c r="H379" s="80"/>
      <c r="I379" s="80"/>
      <c r="J379" s="80"/>
      <c r="K379" s="80"/>
      <c r="L379" s="27"/>
      <c r="M379" s="81"/>
      <c r="N379" s="82"/>
      <c r="O379" s="3"/>
      <c r="P379" s="3"/>
      <c r="S379" s="35"/>
    </row>
    <row r="380" spans="1:19" s="4" customFormat="1">
      <c r="A380" s="78"/>
      <c r="B380" s="78"/>
      <c r="C380" s="99" t="s">
        <v>200</v>
      </c>
      <c r="D380" s="104"/>
      <c r="E380" s="26"/>
      <c r="F380" s="79"/>
      <c r="G380" s="90"/>
      <c r="H380" s="80"/>
      <c r="I380" s="80"/>
      <c r="J380" s="80"/>
      <c r="K380" s="80"/>
      <c r="L380" s="27"/>
      <c r="M380" s="81"/>
      <c r="N380" s="82"/>
      <c r="O380" s="3"/>
      <c r="P380" s="3"/>
      <c r="S380" s="35"/>
    </row>
    <row r="381" spans="1:19" s="4" customFormat="1" ht="126">
      <c r="A381" s="78" t="s">
        <v>38</v>
      </c>
      <c r="B381" s="78" t="s">
        <v>39</v>
      </c>
      <c r="C381" s="103" t="s">
        <v>201</v>
      </c>
      <c r="D381" s="104">
        <v>402.32</v>
      </c>
      <c r="E381" s="26">
        <v>0.05</v>
      </c>
      <c r="F381" s="79">
        <f t="shared" ref="F381:F458" si="263">D381*(1+E381)</f>
        <v>422.43600000000004</v>
      </c>
      <c r="G381" s="90" t="s">
        <v>49</v>
      </c>
      <c r="H381" s="80">
        <v>3.4</v>
      </c>
      <c r="I381" s="80">
        <f t="shared" ref="I381:I450" si="264">H381*F381</f>
        <v>1436.2824000000001</v>
      </c>
      <c r="J381" s="80">
        <v>7.8</v>
      </c>
      <c r="K381" s="80">
        <f t="shared" ref="K381:K450" si="265">J381*F381</f>
        <v>3295.0008000000003</v>
      </c>
      <c r="L381" s="27">
        <f t="shared" ref="L381:L458" si="266">(H381+J381)</f>
        <v>11.2</v>
      </c>
      <c r="M381" s="81">
        <f t="shared" ref="M381:M458" si="267">L381*F381</f>
        <v>4731.2831999999999</v>
      </c>
      <c r="N381" s="82"/>
      <c r="O381" s="3"/>
      <c r="P381" s="3"/>
      <c r="S381" s="35"/>
    </row>
    <row r="382" spans="1:19" s="4" customFormat="1" ht="78.75">
      <c r="A382" s="78" t="s">
        <v>38</v>
      </c>
      <c r="B382" s="78" t="s">
        <v>39</v>
      </c>
      <c r="C382" s="103" t="s">
        <v>202</v>
      </c>
      <c r="D382" s="104">
        <v>403.45</v>
      </c>
      <c r="E382" s="26">
        <v>0.05</v>
      </c>
      <c r="F382" s="79">
        <f t="shared" si="263"/>
        <v>423.6225</v>
      </c>
      <c r="G382" s="90" t="s">
        <v>49</v>
      </c>
      <c r="H382" s="80">
        <v>3.4</v>
      </c>
      <c r="I382" s="80">
        <f t="shared" ref="I382" si="268">H382*F382</f>
        <v>1440.3164999999999</v>
      </c>
      <c r="J382" s="80">
        <v>7.8</v>
      </c>
      <c r="K382" s="80">
        <f t="shared" si="265"/>
        <v>3304.2554999999998</v>
      </c>
      <c r="L382" s="27">
        <f t="shared" si="266"/>
        <v>11.2</v>
      </c>
      <c r="M382" s="81">
        <f t="shared" si="267"/>
        <v>4744.5720000000001</v>
      </c>
      <c r="N382" s="82"/>
      <c r="O382" s="3"/>
      <c r="P382" s="3"/>
      <c r="S382" s="35"/>
    </row>
    <row r="383" spans="1:19" s="4" customFormat="1">
      <c r="A383" s="78"/>
      <c r="B383" s="78"/>
      <c r="C383" s="103"/>
      <c r="D383" s="104"/>
      <c r="E383" s="26"/>
      <c r="F383" s="79"/>
      <c r="G383" s="90"/>
      <c r="H383" s="80">
        <v>3.4</v>
      </c>
      <c r="I383" s="80"/>
      <c r="J383" s="80"/>
      <c r="K383" s="80"/>
      <c r="L383" s="27"/>
      <c r="M383" s="81"/>
      <c r="N383" s="82"/>
      <c r="O383" s="3"/>
      <c r="P383" s="3"/>
      <c r="S383" s="35"/>
    </row>
    <row r="384" spans="1:19" s="4" customFormat="1">
      <c r="A384" s="78"/>
      <c r="B384" s="78"/>
      <c r="C384" s="99" t="s">
        <v>203</v>
      </c>
      <c r="D384" s="104"/>
      <c r="E384" s="26"/>
      <c r="F384" s="79"/>
      <c r="G384" s="90"/>
      <c r="H384" s="80"/>
      <c r="I384" s="80"/>
      <c r="J384" s="80"/>
      <c r="K384" s="80"/>
      <c r="L384" s="27"/>
      <c r="M384" s="81"/>
      <c r="N384" s="82"/>
      <c r="O384" s="3"/>
      <c r="P384" s="3"/>
      <c r="S384" s="35"/>
    </row>
    <row r="385" spans="1:19" s="4" customFormat="1" ht="15.75" customHeight="1">
      <c r="A385" s="78" t="s">
        <v>38</v>
      </c>
      <c r="B385" s="78" t="s">
        <v>39</v>
      </c>
      <c r="C385" s="100" t="s">
        <v>204</v>
      </c>
      <c r="D385" s="104">
        <v>49.6</v>
      </c>
      <c r="E385" s="26">
        <v>0.05</v>
      </c>
      <c r="F385" s="79">
        <f t="shared" si="263"/>
        <v>52.080000000000005</v>
      </c>
      <c r="G385" s="90" t="s">
        <v>47</v>
      </c>
      <c r="H385" s="80">
        <v>11.6</v>
      </c>
      <c r="I385" s="80">
        <f t="shared" si="264"/>
        <v>604.12800000000004</v>
      </c>
      <c r="J385" s="80">
        <v>19.5</v>
      </c>
      <c r="K385" s="80">
        <f t="shared" si="265"/>
        <v>1015.5600000000001</v>
      </c>
      <c r="L385" s="27">
        <f t="shared" si="266"/>
        <v>31.1</v>
      </c>
      <c r="M385" s="81">
        <f t="shared" si="267"/>
        <v>1619.6880000000003</v>
      </c>
      <c r="N385" s="82"/>
      <c r="O385" s="3"/>
      <c r="P385" s="3"/>
      <c r="S385" s="35"/>
    </row>
    <row r="386" spans="1:19" s="4" customFormat="1" ht="15.75" customHeight="1">
      <c r="A386" s="78"/>
      <c r="B386" s="78"/>
      <c r="C386" s="100"/>
      <c r="D386" s="104"/>
      <c r="E386" s="26"/>
      <c r="F386" s="79"/>
      <c r="G386" s="90"/>
      <c r="H386" s="80"/>
      <c r="I386" s="80"/>
      <c r="J386" s="80"/>
      <c r="K386" s="80"/>
      <c r="L386" s="27"/>
      <c r="M386" s="81"/>
      <c r="N386" s="82"/>
      <c r="O386" s="3"/>
      <c r="P386" s="3"/>
      <c r="S386" s="35"/>
    </row>
    <row r="387" spans="1:19" s="4" customFormat="1" ht="15.75" customHeight="1">
      <c r="A387" s="78"/>
      <c r="B387" s="78"/>
      <c r="C387" s="99" t="s">
        <v>205</v>
      </c>
      <c r="D387" s="104"/>
      <c r="E387" s="26"/>
      <c r="F387" s="79"/>
      <c r="G387" s="90"/>
      <c r="H387" s="80"/>
      <c r="I387" s="80"/>
      <c r="J387" s="80"/>
      <c r="K387" s="80"/>
      <c r="L387" s="27"/>
      <c r="M387" s="81"/>
      <c r="N387" s="82"/>
      <c r="O387" s="3"/>
      <c r="P387" s="3"/>
      <c r="S387" s="35"/>
    </row>
    <row r="388" spans="1:19" s="4" customFormat="1" ht="63">
      <c r="A388" s="78" t="s">
        <v>38</v>
      </c>
      <c r="B388" s="78" t="s">
        <v>39</v>
      </c>
      <c r="C388" s="103" t="s">
        <v>206</v>
      </c>
      <c r="D388" s="104">
        <v>101.21</v>
      </c>
      <c r="E388" s="26">
        <v>0.05</v>
      </c>
      <c r="F388" s="79">
        <f t="shared" si="263"/>
        <v>106.2705</v>
      </c>
      <c r="G388" s="90" t="s">
        <v>49</v>
      </c>
      <c r="H388" s="80">
        <v>1.34</v>
      </c>
      <c r="I388" s="80">
        <f t="shared" si="264"/>
        <v>142.40246999999999</v>
      </c>
      <c r="J388" s="80">
        <v>2.98</v>
      </c>
      <c r="K388" s="80">
        <f t="shared" si="265"/>
        <v>316.68608999999998</v>
      </c>
      <c r="L388" s="27">
        <f t="shared" si="266"/>
        <v>4.32</v>
      </c>
      <c r="M388" s="81">
        <f t="shared" si="267"/>
        <v>459.08856000000003</v>
      </c>
      <c r="N388" s="82"/>
      <c r="O388" s="3"/>
      <c r="P388" s="3"/>
      <c r="S388" s="35"/>
    </row>
    <row r="389" spans="1:19" s="4" customFormat="1" ht="63">
      <c r="A389" s="78" t="s">
        <v>38</v>
      </c>
      <c r="B389" s="78" t="s">
        <v>39</v>
      </c>
      <c r="C389" s="103" t="s">
        <v>207</v>
      </c>
      <c r="D389" s="104">
        <v>82.33</v>
      </c>
      <c r="E389" s="26">
        <v>0.05</v>
      </c>
      <c r="F389" s="79">
        <f t="shared" si="263"/>
        <v>86.4465</v>
      </c>
      <c r="G389" s="90" t="s">
        <v>49</v>
      </c>
      <c r="H389" s="80">
        <v>1.34</v>
      </c>
      <c r="I389" s="80">
        <f t="shared" ref="I389:I392" si="269">H389*F389</f>
        <v>115.83831000000001</v>
      </c>
      <c r="J389" s="80">
        <v>2.98</v>
      </c>
      <c r="K389" s="80">
        <f t="shared" si="265"/>
        <v>257.61057</v>
      </c>
      <c r="L389" s="27">
        <f t="shared" si="266"/>
        <v>4.32</v>
      </c>
      <c r="M389" s="81">
        <f t="shared" si="267"/>
        <v>373.44888000000003</v>
      </c>
      <c r="N389" s="82"/>
      <c r="O389" s="3"/>
      <c r="P389" s="3"/>
      <c r="S389" s="35"/>
    </row>
    <row r="390" spans="1:19" s="4" customFormat="1" ht="31.5">
      <c r="A390" s="78" t="s">
        <v>38</v>
      </c>
      <c r="B390" s="78" t="s">
        <v>39</v>
      </c>
      <c r="C390" s="103" t="s">
        <v>208</v>
      </c>
      <c r="D390" s="104">
        <v>57.17</v>
      </c>
      <c r="E390" s="26">
        <v>0.05</v>
      </c>
      <c r="F390" s="79">
        <f t="shared" si="263"/>
        <v>60.028500000000001</v>
      </c>
      <c r="G390" s="90" t="s">
        <v>49</v>
      </c>
      <c r="H390" s="80">
        <v>1.34</v>
      </c>
      <c r="I390" s="80">
        <f t="shared" si="269"/>
        <v>80.438190000000006</v>
      </c>
      <c r="J390" s="80">
        <v>2.98</v>
      </c>
      <c r="K390" s="80">
        <f t="shared" si="265"/>
        <v>178.88493</v>
      </c>
      <c r="L390" s="27">
        <f t="shared" si="266"/>
        <v>4.32</v>
      </c>
      <c r="M390" s="81">
        <f t="shared" si="267"/>
        <v>259.32312000000002</v>
      </c>
      <c r="N390" s="82"/>
      <c r="O390" s="3"/>
      <c r="P390" s="3"/>
      <c r="S390" s="35"/>
    </row>
    <row r="391" spans="1:19" s="4" customFormat="1" ht="63">
      <c r="A391" s="78" t="s">
        <v>38</v>
      </c>
      <c r="B391" s="78" t="s">
        <v>39</v>
      </c>
      <c r="C391" s="103" t="s">
        <v>207</v>
      </c>
      <c r="D391" s="104">
        <v>407.4</v>
      </c>
      <c r="E391" s="26">
        <v>0.05</v>
      </c>
      <c r="F391" s="79">
        <f t="shared" si="263"/>
        <v>427.77</v>
      </c>
      <c r="G391" s="90" t="s">
        <v>49</v>
      </c>
      <c r="H391" s="80">
        <v>1.34</v>
      </c>
      <c r="I391" s="80">
        <f t="shared" si="269"/>
        <v>573.21180000000004</v>
      </c>
      <c r="J391" s="80">
        <v>2.98</v>
      </c>
      <c r="K391" s="80">
        <f t="shared" si="265"/>
        <v>1274.7546</v>
      </c>
      <c r="L391" s="27">
        <f t="shared" si="266"/>
        <v>4.32</v>
      </c>
      <c r="M391" s="81">
        <f t="shared" si="267"/>
        <v>1847.9664</v>
      </c>
      <c r="N391" s="82"/>
      <c r="O391" s="3"/>
      <c r="P391" s="3"/>
      <c r="S391" s="35"/>
    </row>
    <row r="392" spans="1:19" s="4" customFormat="1" ht="63">
      <c r="A392" s="78" t="s">
        <v>38</v>
      </c>
      <c r="B392" s="78" t="s">
        <v>39</v>
      </c>
      <c r="C392" s="103" t="s">
        <v>206</v>
      </c>
      <c r="D392" s="104">
        <v>461.66</v>
      </c>
      <c r="E392" s="26">
        <v>0.05</v>
      </c>
      <c r="F392" s="79">
        <f>D392*(1+E392)</f>
        <v>484.74300000000005</v>
      </c>
      <c r="G392" s="90" t="s">
        <v>49</v>
      </c>
      <c r="H392" s="80">
        <v>1.34</v>
      </c>
      <c r="I392" s="80">
        <f t="shared" si="269"/>
        <v>649.55562000000009</v>
      </c>
      <c r="J392" s="80">
        <v>2.98</v>
      </c>
      <c r="K392" s="80">
        <f>J392*F392</f>
        <v>1444.5341400000002</v>
      </c>
      <c r="L392" s="27">
        <f>(H392+J392)</f>
        <v>4.32</v>
      </c>
      <c r="M392" s="81">
        <f>L392*F392</f>
        <v>2094.0897600000003</v>
      </c>
      <c r="N392" s="82"/>
      <c r="O392" s="3"/>
      <c r="P392" s="3"/>
      <c r="S392" s="35"/>
    </row>
    <row r="393" spans="1:19" s="4" customFormat="1">
      <c r="A393" s="78"/>
      <c r="B393" s="78"/>
      <c r="C393" s="103"/>
      <c r="D393" s="104"/>
      <c r="E393" s="26"/>
      <c r="F393" s="79"/>
      <c r="G393" s="90"/>
      <c r="H393" s="80"/>
      <c r="I393" s="80"/>
      <c r="J393" s="80"/>
      <c r="K393" s="80"/>
      <c r="L393" s="27"/>
      <c r="M393" s="81"/>
      <c r="N393" s="82"/>
      <c r="O393" s="3"/>
      <c r="P393" s="3"/>
      <c r="S393" s="35"/>
    </row>
    <row r="394" spans="1:19" s="4" customFormat="1">
      <c r="A394" s="78"/>
      <c r="B394" s="78"/>
      <c r="C394" s="99" t="s">
        <v>209</v>
      </c>
      <c r="D394" s="104"/>
      <c r="E394" s="26"/>
      <c r="F394" s="79"/>
      <c r="G394" s="90"/>
      <c r="H394" s="80"/>
      <c r="I394" s="80"/>
      <c r="J394" s="80"/>
      <c r="K394" s="80"/>
      <c r="L394" s="27"/>
      <c r="M394" s="81"/>
      <c r="N394" s="82"/>
      <c r="O394" s="3"/>
      <c r="P394" s="3"/>
      <c r="S394" s="35"/>
    </row>
    <row r="395" spans="1:19" s="4" customFormat="1" ht="47.25">
      <c r="A395" s="78" t="s">
        <v>38</v>
      </c>
      <c r="B395" s="78" t="s">
        <v>39</v>
      </c>
      <c r="C395" s="103" t="s">
        <v>210</v>
      </c>
      <c r="D395" s="104">
        <v>20</v>
      </c>
      <c r="E395" s="26">
        <v>0.05</v>
      </c>
      <c r="F395" s="79">
        <f t="shared" si="263"/>
        <v>21</v>
      </c>
      <c r="G395" s="90" t="s">
        <v>49</v>
      </c>
      <c r="H395" s="80">
        <v>11.6</v>
      </c>
      <c r="I395" s="80">
        <f t="shared" si="264"/>
        <v>243.6</v>
      </c>
      <c r="J395" s="80">
        <v>13.5</v>
      </c>
      <c r="K395" s="80">
        <f t="shared" si="265"/>
        <v>283.5</v>
      </c>
      <c r="L395" s="27">
        <f t="shared" si="266"/>
        <v>25.1</v>
      </c>
      <c r="M395" s="81">
        <f t="shared" si="267"/>
        <v>527.1</v>
      </c>
      <c r="N395" s="82"/>
      <c r="O395" s="3"/>
      <c r="P395" s="3"/>
      <c r="S395" s="35"/>
    </row>
    <row r="396" spans="1:19" s="4" customFormat="1" ht="47.25">
      <c r="A396" s="78" t="s">
        <v>38</v>
      </c>
      <c r="B396" s="78" t="s">
        <v>39</v>
      </c>
      <c r="C396" s="103" t="s">
        <v>211</v>
      </c>
      <c r="D396" s="104">
        <v>45.7</v>
      </c>
      <c r="E396" s="26">
        <v>0.05</v>
      </c>
      <c r="F396" s="79">
        <f t="shared" si="263"/>
        <v>47.985000000000007</v>
      </c>
      <c r="G396" s="90" t="s">
        <v>49</v>
      </c>
      <c r="H396" s="80">
        <v>11.6</v>
      </c>
      <c r="I396" s="80">
        <f t="shared" si="264"/>
        <v>556.62600000000009</v>
      </c>
      <c r="J396" s="80">
        <v>13.5</v>
      </c>
      <c r="K396" s="80">
        <f t="shared" si="265"/>
        <v>647.79750000000013</v>
      </c>
      <c r="L396" s="27">
        <f t="shared" si="266"/>
        <v>25.1</v>
      </c>
      <c r="M396" s="81">
        <f t="shared" si="267"/>
        <v>1204.4235000000003</v>
      </c>
      <c r="N396" s="82"/>
      <c r="O396" s="3"/>
      <c r="P396" s="3"/>
      <c r="S396" s="35"/>
    </row>
    <row r="397" spans="1:19" s="4" customFormat="1" ht="63">
      <c r="A397" s="78" t="s">
        <v>38</v>
      </c>
      <c r="B397" s="78" t="s">
        <v>39</v>
      </c>
      <c r="C397" s="103" t="s">
        <v>212</v>
      </c>
      <c r="D397" s="104">
        <v>14.3</v>
      </c>
      <c r="E397" s="26">
        <v>0.05</v>
      </c>
      <c r="F397" s="79">
        <f t="shared" si="263"/>
        <v>15.015000000000001</v>
      </c>
      <c r="G397" s="90" t="s">
        <v>49</v>
      </c>
      <c r="H397" s="80">
        <v>11.6</v>
      </c>
      <c r="I397" s="80">
        <f t="shared" si="264"/>
        <v>174.17400000000001</v>
      </c>
      <c r="J397" s="80">
        <v>13.5</v>
      </c>
      <c r="K397" s="80">
        <f t="shared" si="265"/>
        <v>202.70250000000001</v>
      </c>
      <c r="L397" s="27">
        <f t="shared" si="266"/>
        <v>25.1</v>
      </c>
      <c r="M397" s="81">
        <f t="shared" si="267"/>
        <v>376.87650000000002</v>
      </c>
      <c r="N397" s="82"/>
      <c r="O397" s="3"/>
      <c r="P397" s="3"/>
      <c r="S397" s="35"/>
    </row>
    <row r="398" spans="1:19" s="4" customFormat="1">
      <c r="A398" s="78"/>
      <c r="B398" s="78"/>
      <c r="C398" s="103"/>
      <c r="D398" s="104"/>
      <c r="E398" s="26"/>
      <c r="F398" s="79"/>
      <c r="G398" s="90"/>
      <c r="H398" s="80"/>
      <c r="I398" s="80"/>
      <c r="J398" s="80"/>
      <c r="K398" s="80"/>
      <c r="L398" s="27"/>
      <c r="M398" s="81"/>
      <c r="N398" s="82"/>
      <c r="O398" s="3"/>
      <c r="P398" s="3"/>
      <c r="S398" s="35"/>
    </row>
    <row r="399" spans="1:19" s="4" customFormat="1" ht="15.75" customHeight="1">
      <c r="A399" s="78"/>
      <c r="B399" s="78"/>
      <c r="C399" s="99" t="s">
        <v>213</v>
      </c>
      <c r="D399" s="104"/>
      <c r="E399" s="26"/>
      <c r="F399" s="79"/>
      <c r="G399" s="90"/>
      <c r="H399" s="80"/>
      <c r="I399" s="80"/>
      <c r="J399" s="80"/>
      <c r="K399" s="80"/>
      <c r="L399" s="27"/>
      <c r="M399" s="81"/>
      <c r="N399" s="82"/>
      <c r="O399" s="3"/>
      <c r="P399" s="3"/>
      <c r="S399" s="35"/>
    </row>
    <row r="400" spans="1:19" s="4" customFormat="1" ht="15.75" customHeight="1">
      <c r="A400" s="78" t="s">
        <v>38</v>
      </c>
      <c r="B400" s="78" t="s">
        <v>39</v>
      </c>
      <c r="C400" s="100" t="s">
        <v>213</v>
      </c>
      <c r="D400" s="104">
        <v>1325.87</v>
      </c>
      <c r="E400" s="26">
        <v>0.05</v>
      </c>
      <c r="F400" s="79">
        <f t="shared" si="263"/>
        <v>1392.1634999999999</v>
      </c>
      <c r="G400" s="90" t="s">
        <v>49</v>
      </c>
      <c r="H400" s="80">
        <v>0.35</v>
      </c>
      <c r="I400" s="80">
        <f t="shared" si="264"/>
        <v>487.25722499999995</v>
      </c>
      <c r="J400" s="80">
        <v>0.54</v>
      </c>
      <c r="K400" s="80">
        <f t="shared" si="265"/>
        <v>751.76828999999998</v>
      </c>
      <c r="L400" s="27">
        <f t="shared" si="266"/>
        <v>0.89</v>
      </c>
      <c r="M400" s="81">
        <f t="shared" si="267"/>
        <v>1239.0255149999998</v>
      </c>
      <c r="N400" s="82"/>
      <c r="O400" s="3"/>
      <c r="P400" s="3"/>
      <c r="S400" s="35"/>
    </row>
    <row r="401" spans="1:19" s="4" customFormat="1" ht="15.75" customHeight="1">
      <c r="A401" s="78"/>
      <c r="B401" s="78"/>
      <c r="C401" s="100"/>
      <c r="D401" s="104"/>
      <c r="E401" s="26"/>
      <c r="F401" s="79"/>
      <c r="G401" s="90"/>
      <c r="H401" s="80"/>
      <c r="I401" s="80"/>
      <c r="J401" s="80"/>
      <c r="K401" s="80"/>
      <c r="L401" s="27"/>
      <c r="M401" s="81"/>
      <c r="N401" s="82"/>
      <c r="O401" s="3"/>
      <c r="P401" s="3"/>
      <c r="S401" s="35"/>
    </row>
    <row r="402" spans="1:19" s="4" customFormat="1" ht="15.75" customHeight="1">
      <c r="A402" s="78"/>
      <c r="B402" s="78"/>
      <c r="C402" s="99" t="s">
        <v>214</v>
      </c>
      <c r="D402" s="104"/>
      <c r="E402" s="26"/>
      <c r="F402" s="79"/>
      <c r="G402" s="90"/>
      <c r="H402" s="80"/>
      <c r="I402" s="80"/>
      <c r="J402" s="80"/>
      <c r="K402" s="80"/>
      <c r="L402" s="27"/>
      <c r="M402" s="81"/>
      <c r="N402" s="82"/>
      <c r="O402" s="3"/>
      <c r="P402" s="3"/>
      <c r="S402" s="35"/>
    </row>
    <row r="403" spans="1:19" s="4" customFormat="1" ht="15.75" customHeight="1">
      <c r="A403" s="78" t="s">
        <v>38</v>
      </c>
      <c r="B403" s="78" t="s">
        <v>39</v>
      </c>
      <c r="C403" s="100" t="s">
        <v>215</v>
      </c>
      <c r="D403" s="104">
        <v>201.71</v>
      </c>
      <c r="E403" s="26">
        <v>0.05</v>
      </c>
      <c r="F403" s="79">
        <f t="shared" si="263"/>
        <v>211.7955</v>
      </c>
      <c r="G403" s="90" t="s">
        <v>49</v>
      </c>
      <c r="H403" s="80">
        <v>0.68</v>
      </c>
      <c r="I403" s="80">
        <f t="shared" si="264"/>
        <v>144.02094000000002</v>
      </c>
      <c r="J403" s="80">
        <v>1.38</v>
      </c>
      <c r="K403" s="80">
        <f t="shared" si="265"/>
        <v>292.27778999999998</v>
      </c>
      <c r="L403" s="27">
        <f t="shared" si="266"/>
        <v>2.06</v>
      </c>
      <c r="M403" s="81">
        <f t="shared" si="267"/>
        <v>436.29873000000003</v>
      </c>
      <c r="N403" s="82"/>
      <c r="O403" s="3"/>
      <c r="P403" s="3"/>
      <c r="S403" s="35"/>
    </row>
    <row r="404" spans="1:19" s="4" customFormat="1" ht="15.75" customHeight="1">
      <c r="A404" s="78"/>
      <c r="B404" s="78"/>
      <c r="C404" s="100"/>
      <c r="D404" s="104"/>
      <c r="E404" s="26"/>
      <c r="F404" s="79"/>
      <c r="G404" s="90"/>
      <c r="H404" s="80"/>
      <c r="I404" s="80"/>
      <c r="J404" s="80"/>
      <c r="K404" s="80"/>
      <c r="L404" s="27"/>
      <c r="M404" s="81"/>
      <c r="N404" s="82"/>
      <c r="O404" s="3"/>
      <c r="P404" s="3"/>
      <c r="S404" s="35"/>
    </row>
    <row r="405" spans="1:19" s="4" customFormat="1" ht="15.75" customHeight="1">
      <c r="A405" s="78"/>
      <c r="B405" s="78"/>
      <c r="C405" s="99" t="s">
        <v>216</v>
      </c>
      <c r="D405" s="104"/>
      <c r="E405" s="26"/>
      <c r="F405" s="79"/>
      <c r="G405" s="90"/>
      <c r="H405" s="80"/>
      <c r="I405" s="80"/>
      <c r="J405" s="80"/>
      <c r="K405" s="80"/>
      <c r="L405" s="27"/>
      <c r="M405" s="81"/>
      <c r="N405" s="82"/>
      <c r="O405" s="3"/>
      <c r="P405" s="3"/>
      <c r="S405" s="35"/>
    </row>
    <row r="406" spans="1:19" s="4" customFormat="1" ht="78.75">
      <c r="A406" s="78" t="s">
        <v>38</v>
      </c>
      <c r="B406" s="78" t="s">
        <v>39</v>
      </c>
      <c r="C406" s="103" t="s">
        <v>217</v>
      </c>
      <c r="D406" s="104">
        <v>644.03</v>
      </c>
      <c r="E406" s="26">
        <v>0.05</v>
      </c>
      <c r="F406" s="79">
        <f t="shared" si="263"/>
        <v>676.23149999999998</v>
      </c>
      <c r="G406" s="90" t="s">
        <v>49</v>
      </c>
      <c r="H406" s="80">
        <v>1.85</v>
      </c>
      <c r="I406" s="80">
        <f t="shared" si="264"/>
        <v>1251.0282750000001</v>
      </c>
      <c r="J406" s="80">
        <v>2.6</v>
      </c>
      <c r="K406" s="80">
        <f t="shared" si="265"/>
        <v>1758.2019</v>
      </c>
      <c r="L406" s="27">
        <f t="shared" si="266"/>
        <v>4.45</v>
      </c>
      <c r="M406" s="81">
        <f t="shared" si="267"/>
        <v>3009.2301750000001</v>
      </c>
      <c r="N406" s="82"/>
      <c r="O406" s="3"/>
      <c r="P406" s="3"/>
      <c r="S406" s="35"/>
    </row>
    <row r="407" spans="1:19" s="4" customFormat="1" ht="78.75">
      <c r="A407" s="78" t="s">
        <v>38</v>
      </c>
      <c r="B407" s="78" t="s">
        <v>39</v>
      </c>
      <c r="C407" s="103" t="s">
        <v>218</v>
      </c>
      <c r="D407" s="104">
        <v>1792.79</v>
      </c>
      <c r="E407" s="26">
        <v>0.05</v>
      </c>
      <c r="F407" s="79">
        <f>D407*(1+E407)</f>
        <v>1882.4295</v>
      </c>
      <c r="G407" s="90" t="s">
        <v>49</v>
      </c>
      <c r="H407" s="80">
        <v>1.85</v>
      </c>
      <c r="I407" s="80">
        <f t="shared" ref="I407" si="270">H407*F407</f>
        <v>3482.4945750000002</v>
      </c>
      <c r="J407" s="80">
        <v>2.6</v>
      </c>
      <c r="K407" s="80">
        <f>J407*F407</f>
        <v>4894.3167000000003</v>
      </c>
      <c r="L407" s="27">
        <f>(H407+J407)</f>
        <v>4.45</v>
      </c>
      <c r="M407" s="81">
        <f>L407*F407</f>
        <v>8376.811275</v>
      </c>
      <c r="N407" s="82"/>
      <c r="O407" s="3"/>
      <c r="P407" s="3"/>
      <c r="S407" s="35"/>
    </row>
    <row r="408" spans="1:19" s="4" customFormat="1">
      <c r="A408" s="78"/>
      <c r="B408" s="78"/>
      <c r="C408" s="103"/>
      <c r="D408" s="104"/>
      <c r="E408" s="26"/>
      <c r="F408" s="79"/>
      <c r="G408" s="90"/>
      <c r="H408" s="80"/>
      <c r="I408" s="80"/>
      <c r="J408" s="80"/>
      <c r="K408" s="80"/>
      <c r="L408" s="27"/>
      <c r="M408" s="81"/>
      <c r="N408" s="82"/>
      <c r="O408" s="3"/>
      <c r="P408" s="3"/>
      <c r="S408" s="35"/>
    </row>
    <row r="409" spans="1:19" s="4" customFormat="1">
      <c r="A409" s="78"/>
      <c r="B409" s="78"/>
      <c r="C409" s="99" t="s">
        <v>219</v>
      </c>
      <c r="D409" s="104"/>
      <c r="E409" s="26"/>
      <c r="F409" s="79"/>
      <c r="G409" s="90"/>
      <c r="H409" s="80"/>
      <c r="I409" s="80"/>
      <c r="J409" s="80"/>
      <c r="K409" s="80"/>
      <c r="L409" s="27"/>
      <c r="M409" s="81"/>
      <c r="N409" s="82"/>
      <c r="O409" s="3"/>
      <c r="P409" s="3"/>
      <c r="S409" s="35"/>
    </row>
    <row r="410" spans="1:19" s="4" customFormat="1">
      <c r="A410" s="78" t="s">
        <v>38</v>
      </c>
      <c r="B410" s="78" t="s">
        <v>39</v>
      </c>
      <c r="C410" s="103" t="s">
        <v>219</v>
      </c>
      <c r="D410" s="104">
        <f>1203-134</f>
        <v>1069</v>
      </c>
      <c r="E410" s="26">
        <v>0.05</v>
      </c>
      <c r="F410" s="79">
        <f t="shared" ref="F410:F413" si="271">D410*(1+E410)</f>
        <v>1122.45</v>
      </c>
      <c r="G410" s="90" t="s">
        <v>47</v>
      </c>
      <c r="H410" s="80">
        <v>0.97</v>
      </c>
      <c r="I410" s="80">
        <f t="shared" ref="I410:I413" si="272">H410*F410</f>
        <v>1088.7764999999999</v>
      </c>
      <c r="J410" s="80">
        <v>1.1000000000000001</v>
      </c>
      <c r="K410" s="80">
        <f t="shared" ref="K410:K413" si="273">J410*F410</f>
        <v>1234.6950000000002</v>
      </c>
      <c r="L410" s="27">
        <f t="shared" ref="L410:L413" si="274">(H410+J410)</f>
        <v>2.0700000000000003</v>
      </c>
      <c r="M410" s="81">
        <f t="shared" ref="M410:M413" si="275">L410*F410</f>
        <v>2323.4715000000006</v>
      </c>
      <c r="N410" s="82"/>
      <c r="O410" s="3"/>
      <c r="P410" s="3"/>
      <c r="S410" s="35"/>
    </row>
    <row r="411" spans="1:19" s="4" customFormat="1">
      <c r="A411" s="78"/>
      <c r="B411" s="78"/>
      <c r="C411" s="103"/>
      <c r="D411" s="104"/>
      <c r="E411" s="26"/>
      <c r="F411" s="79"/>
      <c r="G411" s="90"/>
      <c r="H411" s="80"/>
      <c r="I411" s="80"/>
      <c r="J411" s="80"/>
      <c r="K411" s="80"/>
      <c r="L411" s="27"/>
      <c r="M411" s="81"/>
      <c r="N411" s="82"/>
      <c r="O411" s="3"/>
      <c r="P411" s="3"/>
      <c r="S411" s="35"/>
    </row>
    <row r="412" spans="1:19" s="4" customFormat="1">
      <c r="A412" s="78"/>
      <c r="B412" s="78"/>
      <c r="C412" s="99" t="s">
        <v>220</v>
      </c>
      <c r="D412" s="104"/>
      <c r="E412" s="26"/>
      <c r="F412" s="79"/>
      <c r="G412" s="90"/>
      <c r="H412" s="80"/>
      <c r="I412" s="80"/>
      <c r="J412" s="80"/>
      <c r="K412" s="80"/>
      <c r="L412" s="27"/>
      <c r="M412" s="81"/>
      <c r="N412" s="82"/>
      <c r="O412" s="3"/>
      <c r="P412" s="3"/>
      <c r="S412" s="35"/>
    </row>
    <row r="413" spans="1:19" s="4" customFormat="1">
      <c r="A413" s="78" t="s">
        <v>38</v>
      </c>
      <c r="B413" s="78" t="s">
        <v>39</v>
      </c>
      <c r="C413" s="103" t="s">
        <v>220</v>
      </c>
      <c r="D413" s="104">
        <v>134</v>
      </c>
      <c r="E413" s="26">
        <v>0.05</v>
      </c>
      <c r="F413" s="79">
        <f t="shared" si="271"/>
        <v>140.70000000000002</v>
      </c>
      <c r="G413" s="90" t="s">
        <v>47</v>
      </c>
      <c r="H413" s="80">
        <f>1.34*0.67</f>
        <v>0.89780000000000015</v>
      </c>
      <c r="I413" s="80">
        <f t="shared" si="272"/>
        <v>126.32046000000004</v>
      </c>
      <c r="J413" s="80">
        <f>2.98*0.67</f>
        <v>1.9966000000000002</v>
      </c>
      <c r="K413" s="80">
        <f t="shared" si="273"/>
        <v>280.92162000000008</v>
      </c>
      <c r="L413" s="27">
        <f t="shared" si="274"/>
        <v>2.8944000000000001</v>
      </c>
      <c r="M413" s="81">
        <f t="shared" si="275"/>
        <v>407.24208000000004</v>
      </c>
      <c r="N413" s="82"/>
      <c r="O413" s="3"/>
      <c r="P413" s="3"/>
      <c r="S413" s="35"/>
    </row>
    <row r="414" spans="1:19" s="4" customFormat="1">
      <c r="A414" s="78"/>
      <c r="B414" s="78"/>
      <c r="C414" s="103"/>
      <c r="D414" s="104"/>
      <c r="E414" s="26"/>
      <c r="F414" s="79"/>
      <c r="G414" s="90"/>
      <c r="H414" s="80"/>
      <c r="I414" s="80"/>
      <c r="J414" s="80"/>
      <c r="K414" s="80"/>
      <c r="L414" s="27"/>
      <c r="M414" s="81"/>
      <c r="N414" s="82"/>
      <c r="O414" s="3"/>
      <c r="P414" s="3"/>
      <c r="S414" s="35"/>
    </row>
    <row r="415" spans="1:19" s="4" customFormat="1">
      <c r="A415" s="78"/>
      <c r="B415" s="78"/>
      <c r="C415" s="99" t="s">
        <v>221</v>
      </c>
      <c r="D415" s="104"/>
      <c r="E415" s="26"/>
      <c r="F415" s="79"/>
      <c r="G415" s="90"/>
      <c r="H415" s="80"/>
      <c r="I415" s="80"/>
      <c r="J415" s="80"/>
      <c r="K415" s="80"/>
      <c r="L415" s="27"/>
      <c r="M415" s="81"/>
      <c r="N415" s="82"/>
      <c r="O415" s="3"/>
      <c r="P415" s="3"/>
      <c r="S415" s="35"/>
    </row>
    <row r="416" spans="1:19" s="4" customFormat="1" ht="31.5">
      <c r="A416" s="78" t="s">
        <v>38</v>
      </c>
      <c r="B416" s="78" t="s">
        <v>39</v>
      </c>
      <c r="C416" s="103" t="s">
        <v>222</v>
      </c>
      <c r="D416" s="104">
        <v>28</v>
      </c>
      <c r="E416" s="26">
        <v>0.05</v>
      </c>
      <c r="F416" s="79">
        <f>D416*(1+E416)</f>
        <v>29.400000000000002</v>
      </c>
      <c r="G416" s="90" t="s">
        <v>41</v>
      </c>
      <c r="H416" s="80">
        <f>1.1*17</f>
        <v>18.700000000000003</v>
      </c>
      <c r="I416" s="80">
        <f>H416*F416</f>
        <v>549.78000000000009</v>
      </c>
      <c r="J416" s="80">
        <f>1.6*17</f>
        <v>27.200000000000003</v>
      </c>
      <c r="K416" s="80">
        <f>J416*F416</f>
        <v>799.68000000000018</v>
      </c>
      <c r="L416" s="27">
        <f>(H416+J416)</f>
        <v>45.900000000000006</v>
      </c>
      <c r="M416" s="81">
        <f>L416*F416</f>
        <v>1349.4600000000003</v>
      </c>
      <c r="N416" s="82"/>
      <c r="O416" s="3"/>
      <c r="P416" s="3"/>
      <c r="S416" s="35"/>
    </row>
    <row r="417" spans="1:19" s="4" customFormat="1" ht="15.75" customHeight="1">
      <c r="A417" s="78"/>
      <c r="B417" s="78"/>
      <c r="C417" s="100"/>
      <c r="D417" s="104"/>
      <c r="E417" s="26"/>
      <c r="F417" s="79"/>
      <c r="G417" s="90"/>
      <c r="H417" s="80"/>
      <c r="I417" s="80"/>
      <c r="J417" s="80"/>
      <c r="K417" s="80"/>
      <c r="L417" s="27"/>
      <c r="M417" s="81"/>
      <c r="N417" s="82"/>
      <c r="O417" s="3"/>
      <c r="P417" s="3"/>
      <c r="S417" s="35"/>
    </row>
    <row r="418" spans="1:19" s="4" customFormat="1" ht="15.75" customHeight="1">
      <c r="A418" s="78"/>
      <c r="B418" s="78"/>
      <c r="C418" s="100"/>
      <c r="D418" s="104"/>
      <c r="E418" s="26"/>
      <c r="F418" s="79"/>
      <c r="G418" s="90"/>
      <c r="H418" s="80"/>
      <c r="I418" s="80"/>
      <c r="J418" s="80"/>
      <c r="K418" s="80"/>
      <c r="L418" s="27"/>
      <c r="M418" s="81"/>
      <c r="N418" s="82"/>
      <c r="O418" s="3"/>
      <c r="P418" s="3"/>
      <c r="S418" s="35"/>
    </row>
    <row r="419" spans="1:19" s="4" customFormat="1" ht="15.75" customHeight="1">
      <c r="A419" s="78"/>
      <c r="B419" s="78"/>
      <c r="C419" s="99" t="s">
        <v>223</v>
      </c>
      <c r="D419" s="104"/>
      <c r="E419" s="26"/>
      <c r="F419" s="79"/>
      <c r="G419" s="90"/>
      <c r="H419" s="80"/>
      <c r="I419" s="80"/>
      <c r="J419" s="80"/>
      <c r="K419" s="80"/>
      <c r="L419" s="27"/>
      <c r="M419" s="81"/>
      <c r="N419" s="82"/>
      <c r="O419" s="3"/>
      <c r="P419" s="3"/>
      <c r="S419" s="35"/>
    </row>
    <row r="420" spans="1:19" s="4" customFormat="1" ht="15.75" customHeight="1">
      <c r="A420" s="78" t="s">
        <v>38</v>
      </c>
      <c r="B420" s="78" t="s">
        <v>39</v>
      </c>
      <c r="C420" s="100" t="s">
        <v>223</v>
      </c>
      <c r="D420" s="104">
        <v>6.7</v>
      </c>
      <c r="E420" s="26">
        <v>0.05</v>
      </c>
      <c r="F420" s="79">
        <f t="shared" si="263"/>
        <v>7.0350000000000001</v>
      </c>
      <c r="G420" s="90" t="s">
        <v>47</v>
      </c>
      <c r="H420" s="80">
        <v>2.6</v>
      </c>
      <c r="I420" s="80">
        <f t="shared" si="264"/>
        <v>18.291</v>
      </c>
      <c r="J420" s="80">
        <v>3.5</v>
      </c>
      <c r="K420" s="80">
        <f t="shared" si="265"/>
        <v>24.622500000000002</v>
      </c>
      <c r="L420" s="27">
        <f t="shared" si="266"/>
        <v>6.1</v>
      </c>
      <c r="M420" s="81">
        <f t="shared" si="267"/>
        <v>42.913499999999999</v>
      </c>
      <c r="N420" s="82"/>
      <c r="O420" s="3"/>
      <c r="P420" s="3"/>
      <c r="S420" s="35"/>
    </row>
    <row r="421" spans="1:19" s="4" customFormat="1" ht="15.75" customHeight="1">
      <c r="A421" s="78"/>
      <c r="B421" s="78"/>
      <c r="C421" s="100"/>
      <c r="D421" s="104"/>
      <c r="E421" s="26"/>
      <c r="F421" s="79"/>
      <c r="G421" s="90"/>
      <c r="H421" s="80"/>
      <c r="I421" s="80"/>
      <c r="J421" s="80"/>
      <c r="K421" s="80"/>
      <c r="L421" s="27"/>
      <c r="M421" s="81"/>
      <c r="N421" s="82"/>
      <c r="O421" s="3"/>
      <c r="P421" s="3"/>
      <c r="S421" s="35"/>
    </row>
    <row r="422" spans="1:19" s="4" customFormat="1" ht="15.75" customHeight="1">
      <c r="A422" s="78"/>
      <c r="B422" s="78"/>
      <c r="C422" s="99" t="s">
        <v>224</v>
      </c>
      <c r="D422" s="104"/>
      <c r="E422" s="26"/>
      <c r="F422" s="79"/>
      <c r="G422" s="90"/>
      <c r="H422" s="80"/>
      <c r="I422" s="80"/>
      <c r="J422" s="80"/>
      <c r="K422" s="80"/>
      <c r="L422" s="27"/>
      <c r="M422" s="81"/>
      <c r="N422" s="82"/>
      <c r="O422" s="3"/>
      <c r="P422" s="3"/>
      <c r="S422" s="35"/>
    </row>
    <row r="423" spans="1:19" s="4" customFormat="1" ht="63">
      <c r="A423" s="78" t="s">
        <v>38</v>
      </c>
      <c r="B423" s="78" t="s">
        <v>39</v>
      </c>
      <c r="C423" s="103" t="s">
        <v>225</v>
      </c>
      <c r="D423" s="104">
        <v>51.28</v>
      </c>
      <c r="E423" s="26">
        <v>0.05</v>
      </c>
      <c r="F423" s="79">
        <f t="shared" si="263"/>
        <v>53.844000000000001</v>
      </c>
      <c r="G423" s="90" t="s">
        <v>49</v>
      </c>
      <c r="H423" s="80">
        <v>1.1000000000000001</v>
      </c>
      <c r="I423" s="80">
        <f t="shared" si="264"/>
        <v>59.228400000000008</v>
      </c>
      <c r="J423" s="80">
        <v>1.4</v>
      </c>
      <c r="K423" s="80">
        <f t="shared" si="265"/>
        <v>75.381599999999992</v>
      </c>
      <c r="L423" s="27">
        <f t="shared" si="266"/>
        <v>2.5</v>
      </c>
      <c r="M423" s="81">
        <f t="shared" si="267"/>
        <v>134.61000000000001</v>
      </c>
      <c r="N423" s="82"/>
      <c r="O423" s="3"/>
      <c r="P423" s="3"/>
      <c r="S423" s="35"/>
    </row>
    <row r="424" spans="1:19" s="4" customFormat="1" ht="63">
      <c r="A424" s="78" t="s">
        <v>38</v>
      </c>
      <c r="B424" s="78" t="s">
        <v>39</v>
      </c>
      <c r="C424" s="103" t="s">
        <v>226</v>
      </c>
      <c r="D424" s="104">
        <v>14.95</v>
      </c>
      <c r="E424" s="26">
        <v>0.05</v>
      </c>
      <c r="F424" s="79">
        <f t="shared" si="263"/>
        <v>15.6975</v>
      </c>
      <c r="G424" s="90" t="s">
        <v>49</v>
      </c>
      <c r="H424" s="80">
        <v>1.1000000000000001</v>
      </c>
      <c r="I424" s="80">
        <f t="shared" ref="I424" si="276">H424*F424</f>
        <v>17.267250000000001</v>
      </c>
      <c r="J424" s="80">
        <v>1.4</v>
      </c>
      <c r="K424" s="80">
        <f t="shared" si="265"/>
        <v>21.976499999999998</v>
      </c>
      <c r="L424" s="27">
        <f t="shared" si="266"/>
        <v>2.5</v>
      </c>
      <c r="M424" s="81">
        <f t="shared" si="267"/>
        <v>39.243749999999999</v>
      </c>
      <c r="N424" s="82"/>
      <c r="O424" s="3"/>
      <c r="P424" s="3"/>
      <c r="S424" s="35"/>
    </row>
    <row r="425" spans="1:19" s="4" customFormat="1">
      <c r="A425" s="78"/>
      <c r="B425" s="78"/>
      <c r="C425" s="103"/>
      <c r="D425" s="104"/>
      <c r="E425" s="26"/>
      <c r="F425" s="79"/>
      <c r="G425" s="90"/>
      <c r="H425" s="80"/>
      <c r="I425" s="80"/>
      <c r="J425" s="80"/>
      <c r="K425" s="80"/>
      <c r="L425" s="27"/>
      <c r="M425" s="81"/>
      <c r="N425" s="82"/>
      <c r="O425" s="3"/>
      <c r="P425" s="3"/>
      <c r="S425" s="35"/>
    </row>
    <row r="426" spans="1:19" s="4" customFormat="1">
      <c r="A426" s="78"/>
      <c r="B426" s="78"/>
      <c r="C426" s="99" t="s">
        <v>227</v>
      </c>
      <c r="D426" s="104"/>
      <c r="E426" s="26"/>
      <c r="F426" s="79"/>
      <c r="G426" s="90"/>
      <c r="H426" s="80"/>
      <c r="I426" s="80"/>
      <c r="J426" s="80"/>
      <c r="K426" s="80"/>
      <c r="L426" s="27"/>
      <c r="M426" s="81"/>
      <c r="N426" s="82"/>
      <c r="O426" s="3"/>
      <c r="P426" s="3"/>
      <c r="S426" s="35"/>
    </row>
    <row r="427" spans="1:19" s="4" customFormat="1" ht="126">
      <c r="A427" s="78" t="s">
        <v>38</v>
      </c>
      <c r="B427" s="78" t="s">
        <v>39</v>
      </c>
      <c r="C427" s="103" t="s">
        <v>228</v>
      </c>
      <c r="D427" s="104">
        <v>2145.0500000000002</v>
      </c>
      <c r="E427" s="26">
        <v>0.05</v>
      </c>
      <c r="F427" s="79">
        <f t="shared" si="263"/>
        <v>2252.3025000000002</v>
      </c>
      <c r="G427" s="90" t="s">
        <v>49</v>
      </c>
      <c r="H427" s="80">
        <v>5.5</v>
      </c>
      <c r="I427" s="80">
        <f t="shared" si="264"/>
        <v>12387.663750000002</v>
      </c>
      <c r="J427" s="80">
        <v>6</v>
      </c>
      <c r="K427" s="80">
        <f t="shared" si="265"/>
        <v>13513.815000000002</v>
      </c>
      <c r="L427" s="27">
        <f t="shared" si="266"/>
        <v>11.5</v>
      </c>
      <c r="M427" s="81">
        <f t="shared" si="267"/>
        <v>25901.478750000002</v>
      </c>
      <c r="N427" s="82"/>
      <c r="O427" s="3"/>
      <c r="P427" s="3"/>
      <c r="S427" s="35"/>
    </row>
    <row r="428" spans="1:19" s="4" customFormat="1">
      <c r="A428" s="78"/>
      <c r="B428" s="78"/>
      <c r="C428" s="103"/>
      <c r="D428" s="104"/>
      <c r="E428" s="26"/>
      <c r="F428" s="79"/>
      <c r="G428" s="90"/>
      <c r="H428" s="80"/>
      <c r="I428" s="80"/>
      <c r="J428" s="80"/>
      <c r="K428" s="80"/>
      <c r="L428" s="27"/>
      <c r="M428" s="81"/>
      <c r="N428" s="82"/>
      <c r="O428" s="3"/>
      <c r="P428" s="3"/>
      <c r="S428" s="35"/>
    </row>
    <row r="429" spans="1:19" s="4" customFormat="1" ht="15.75" customHeight="1">
      <c r="A429" s="78"/>
      <c r="B429" s="78"/>
      <c r="C429" s="99" t="s">
        <v>229</v>
      </c>
      <c r="D429" s="101"/>
      <c r="E429" s="101"/>
      <c r="F429" s="101"/>
      <c r="G429" s="102"/>
      <c r="H429" s="80"/>
      <c r="I429" s="80"/>
      <c r="J429" s="80"/>
      <c r="K429" s="80"/>
      <c r="L429" s="27"/>
      <c r="M429" s="81"/>
      <c r="N429" s="82"/>
      <c r="O429" s="3"/>
      <c r="P429" s="3"/>
      <c r="S429" s="35"/>
    </row>
    <row r="430" spans="1:19" s="4" customFormat="1" ht="15.75" customHeight="1">
      <c r="A430" s="78" t="s">
        <v>38</v>
      </c>
      <c r="B430" s="78" t="s">
        <v>39</v>
      </c>
      <c r="C430" s="100" t="s">
        <v>230</v>
      </c>
      <c r="D430" s="104">
        <f>261704*0.85</f>
        <v>222448.4</v>
      </c>
      <c r="E430" s="26">
        <v>0.05</v>
      </c>
      <c r="F430" s="79">
        <f t="shared" ref="F430" si="277">D430*(1+E430)</f>
        <v>233570.82</v>
      </c>
      <c r="G430" s="90" t="s">
        <v>49</v>
      </c>
      <c r="H430" s="80">
        <v>0.5</v>
      </c>
      <c r="I430" s="80">
        <f t="shared" ref="I430" si="278">H430*F430</f>
        <v>116785.41</v>
      </c>
      <c r="J430" s="80">
        <v>0.42</v>
      </c>
      <c r="K430" s="80">
        <f t="shared" ref="K430" si="279">J430*F430</f>
        <v>98099.744399999996</v>
      </c>
      <c r="L430" s="27">
        <f t="shared" ref="L430" si="280">(H430+J430)</f>
        <v>0.91999999999999993</v>
      </c>
      <c r="M430" s="81">
        <f t="shared" ref="M430" si="281">L430*F430</f>
        <v>214885.1544</v>
      </c>
      <c r="N430" s="82"/>
      <c r="O430" s="3"/>
      <c r="P430" s="3"/>
      <c r="S430" s="35"/>
    </row>
    <row r="431" spans="1:19" s="4" customFormat="1" ht="15.75" customHeight="1">
      <c r="A431" s="78" t="s">
        <v>38</v>
      </c>
      <c r="B431" s="78" t="s">
        <v>39</v>
      </c>
      <c r="C431" s="100" t="s">
        <v>231</v>
      </c>
      <c r="D431" s="104">
        <v>1527</v>
      </c>
      <c r="E431" s="26">
        <v>0.05</v>
      </c>
      <c r="F431" s="79">
        <f t="shared" ref="F431:F442" si="282">D431*(1+E431)</f>
        <v>1603.3500000000001</v>
      </c>
      <c r="G431" s="90" t="s">
        <v>49</v>
      </c>
      <c r="H431" s="80">
        <v>0.5</v>
      </c>
      <c r="I431" s="80">
        <f t="shared" ref="I431:I432" si="283">H431*F431</f>
        <v>801.67500000000007</v>
      </c>
      <c r="J431" s="80">
        <v>0.42</v>
      </c>
      <c r="K431" s="80">
        <f t="shared" ref="K431:K432" si="284">J431*F431</f>
        <v>673.40700000000004</v>
      </c>
      <c r="L431" s="27">
        <f t="shared" ref="L431:L442" si="285">(H431+J431)</f>
        <v>0.91999999999999993</v>
      </c>
      <c r="M431" s="81">
        <f t="shared" ref="M431:M442" si="286">L431*F431</f>
        <v>1475.0820000000001</v>
      </c>
      <c r="N431" s="82"/>
      <c r="O431" s="3"/>
      <c r="P431" s="3"/>
      <c r="S431" s="35"/>
    </row>
    <row r="432" spans="1:19" s="4" customFormat="1" ht="15.75" customHeight="1">
      <c r="A432" s="78" t="s">
        <v>38</v>
      </c>
      <c r="B432" s="78" t="s">
        <v>39</v>
      </c>
      <c r="C432" s="100" t="s">
        <v>232</v>
      </c>
      <c r="D432" s="104">
        <v>44570.239999999998</v>
      </c>
      <c r="E432" s="26">
        <v>0.05</v>
      </c>
      <c r="F432" s="79">
        <f t="shared" ref="F432:F439" si="287">D432*(1+E432)</f>
        <v>46798.752</v>
      </c>
      <c r="G432" s="90" t="s">
        <v>49</v>
      </c>
      <c r="H432" s="80">
        <v>0.5</v>
      </c>
      <c r="I432" s="80">
        <f t="shared" si="283"/>
        <v>23399.376</v>
      </c>
      <c r="J432" s="80">
        <v>0.42</v>
      </c>
      <c r="K432" s="80">
        <f t="shared" si="284"/>
        <v>19655.475839999999</v>
      </c>
      <c r="L432" s="27">
        <f t="shared" ref="L432:L439" si="288">(H432+J432)</f>
        <v>0.91999999999999993</v>
      </c>
      <c r="M432" s="81">
        <f t="shared" ref="M432:M439" si="289">L432*F432</f>
        <v>43054.851839999996</v>
      </c>
      <c r="N432" s="82"/>
      <c r="O432" s="3"/>
      <c r="P432" s="3"/>
      <c r="S432" s="35"/>
    </row>
    <row r="433" spans="1:19" s="4" customFormat="1" ht="15.75" customHeight="1">
      <c r="A433" s="78" t="s">
        <v>38</v>
      </c>
      <c r="B433" s="78" t="s">
        <v>39</v>
      </c>
      <c r="C433" s="100" t="s">
        <v>233</v>
      </c>
      <c r="D433" s="104">
        <v>35</v>
      </c>
      <c r="E433" s="26">
        <v>0.05</v>
      </c>
      <c r="F433" s="79">
        <f t="shared" si="287"/>
        <v>36.75</v>
      </c>
      <c r="G433" s="90" t="s">
        <v>41</v>
      </c>
      <c r="H433" s="80">
        <v>70</v>
      </c>
      <c r="I433" s="80">
        <f t="shared" ref="I433:I439" si="290">H433*F433</f>
        <v>2572.5</v>
      </c>
      <c r="J433" s="80">
        <v>40</v>
      </c>
      <c r="K433" s="80">
        <f t="shared" ref="K433:K439" si="291">J433*F433</f>
        <v>1470</v>
      </c>
      <c r="L433" s="27">
        <f t="shared" si="288"/>
        <v>110</v>
      </c>
      <c r="M433" s="81">
        <f t="shared" si="289"/>
        <v>4042.5</v>
      </c>
      <c r="N433" s="82"/>
      <c r="O433" s="3"/>
      <c r="P433" s="3"/>
      <c r="S433" s="35"/>
    </row>
    <row r="434" spans="1:19" s="4" customFormat="1" ht="15.75" customHeight="1">
      <c r="A434" s="78" t="s">
        <v>38</v>
      </c>
      <c r="B434" s="78" t="s">
        <v>39</v>
      </c>
      <c r="C434" s="100" t="s">
        <v>234</v>
      </c>
      <c r="D434" s="104">
        <v>59.87</v>
      </c>
      <c r="E434" s="26">
        <v>0.05</v>
      </c>
      <c r="F434" s="79">
        <f t="shared" si="287"/>
        <v>62.863500000000002</v>
      </c>
      <c r="G434" s="90" t="s">
        <v>47</v>
      </c>
      <c r="H434" s="80">
        <v>0.7</v>
      </c>
      <c r="I434" s="80">
        <f t="shared" si="290"/>
        <v>44.004449999999999</v>
      </c>
      <c r="J434" s="80">
        <v>0.4</v>
      </c>
      <c r="K434" s="80">
        <f t="shared" si="291"/>
        <v>25.145400000000002</v>
      </c>
      <c r="L434" s="27">
        <f t="shared" si="288"/>
        <v>1.1000000000000001</v>
      </c>
      <c r="M434" s="81">
        <f t="shared" si="289"/>
        <v>69.149850000000001</v>
      </c>
      <c r="N434" s="82"/>
      <c r="O434" s="3"/>
      <c r="P434" s="3"/>
      <c r="S434" s="35"/>
    </row>
    <row r="435" spans="1:19" s="4" customFormat="1" ht="15.75" customHeight="1">
      <c r="A435" s="78" t="s">
        <v>38</v>
      </c>
      <c r="B435" s="78" t="s">
        <v>39</v>
      </c>
      <c r="C435" s="100" t="s">
        <v>235</v>
      </c>
      <c r="D435" s="104">
        <v>37</v>
      </c>
      <c r="E435" s="26">
        <v>0.05</v>
      </c>
      <c r="F435" s="79">
        <f t="shared" si="287"/>
        <v>38.85</v>
      </c>
      <c r="G435" s="90" t="s">
        <v>41</v>
      </c>
      <c r="H435" s="80">
        <v>55</v>
      </c>
      <c r="I435" s="80">
        <f t="shared" si="290"/>
        <v>2136.75</v>
      </c>
      <c r="J435" s="80">
        <v>60</v>
      </c>
      <c r="K435" s="80">
        <f t="shared" si="291"/>
        <v>2331</v>
      </c>
      <c r="L435" s="27">
        <f t="shared" si="288"/>
        <v>115</v>
      </c>
      <c r="M435" s="81">
        <f t="shared" si="289"/>
        <v>4467.75</v>
      </c>
      <c r="N435" s="82"/>
      <c r="O435" s="3"/>
      <c r="P435" s="3"/>
      <c r="S435" s="35"/>
    </row>
    <row r="436" spans="1:19" s="4" customFormat="1" ht="15.75" customHeight="1">
      <c r="A436" s="78" t="s">
        <v>38</v>
      </c>
      <c r="B436" s="78" t="s">
        <v>39</v>
      </c>
      <c r="C436" s="100" t="s">
        <v>236</v>
      </c>
      <c r="D436" s="104">
        <v>11.09</v>
      </c>
      <c r="E436" s="26">
        <v>0.05</v>
      </c>
      <c r="F436" s="79">
        <f t="shared" si="287"/>
        <v>11.644500000000001</v>
      </c>
      <c r="G436" s="90" t="s">
        <v>47</v>
      </c>
      <c r="H436" s="80">
        <v>1.2</v>
      </c>
      <c r="I436" s="80">
        <f t="shared" si="290"/>
        <v>13.9734</v>
      </c>
      <c r="J436" s="80">
        <v>1.6</v>
      </c>
      <c r="K436" s="80">
        <f t="shared" si="291"/>
        <v>18.631200000000003</v>
      </c>
      <c r="L436" s="27">
        <f t="shared" si="288"/>
        <v>2.8</v>
      </c>
      <c r="M436" s="81">
        <f t="shared" si="289"/>
        <v>32.604599999999998</v>
      </c>
      <c r="N436" s="82"/>
      <c r="O436" s="3"/>
      <c r="P436" s="3"/>
      <c r="S436" s="35"/>
    </row>
    <row r="437" spans="1:19" s="4" customFormat="1" ht="15.75" customHeight="1">
      <c r="A437" s="78" t="s">
        <v>38</v>
      </c>
      <c r="B437" s="78" t="s">
        <v>39</v>
      </c>
      <c r="C437" s="100" t="s">
        <v>237</v>
      </c>
      <c r="D437" s="104">
        <v>1</v>
      </c>
      <c r="E437" s="26">
        <v>0.05</v>
      </c>
      <c r="F437" s="79">
        <f t="shared" si="287"/>
        <v>1.05</v>
      </c>
      <c r="G437" s="90" t="s">
        <v>41</v>
      </c>
      <c r="H437" s="80">
        <v>400</v>
      </c>
      <c r="I437" s="80">
        <f t="shared" si="290"/>
        <v>420</v>
      </c>
      <c r="J437" s="80">
        <v>0</v>
      </c>
      <c r="K437" s="80">
        <f t="shared" si="291"/>
        <v>0</v>
      </c>
      <c r="L437" s="27">
        <f t="shared" si="288"/>
        <v>400</v>
      </c>
      <c r="M437" s="81">
        <f t="shared" si="289"/>
        <v>420</v>
      </c>
      <c r="N437" s="82"/>
      <c r="O437" s="3"/>
      <c r="P437" s="3"/>
      <c r="S437" s="35"/>
    </row>
    <row r="438" spans="1:19" s="4" customFormat="1" ht="15.75" customHeight="1">
      <c r="A438" s="78" t="s">
        <v>38</v>
      </c>
      <c r="B438" s="78" t="s">
        <v>39</v>
      </c>
      <c r="C438" s="100" t="s">
        <v>238</v>
      </c>
      <c r="D438" s="104">
        <v>1</v>
      </c>
      <c r="E438" s="26">
        <v>0.05</v>
      </c>
      <c r="F438" s="79">
        <f t="shared" si="287"/>
        <v>1.05</v>
      </c>
      <c r="G438" s="90" t="s">
        <v>41</v>
      </c>
      <c r="H438" s="80">
        <v>400</v>
      </c>
      <c r="I438" s="80">
        <f t="shared" si="290"/>
        <v>420</v>
      </c>
      <c r="J438" s="80">
        <v>0</v>
      </c>
      <c r="K438" s="80">
        <f t="shared" si="291"/>
        <v>0</v>
      </c>
      <c r="L438" s="27">
        <f t="shared" si="288"/>
        <v>400</v>
      </c>
      <c r="M438" s="81">
        <f t="shared" si="289"/>
        <v>420</v>
      </c>
      <c r="N438" s="82"/>
      <c r="O438" s="3"/>
      <c r="P438" s="3"/>
      <c r="S438" s="35"/>
    </row>
    <row r="439" spans="1:19" s="4" customFormat="1" ht="15.75" customHeight="1">
      <c r="A439" s="78" t="s">
        <v>38</v>
      </c>
      <c r="B439" s="78" t="s">
        <v>39</v>
      </c>
      <c r="C439" s="100" t="s">
        <v>239</v>
      </c>
      <c r="D439" s="104">
        <v>1</v>
      </c>
      <c r="E439" s="26">
        <v>0.05</v>
      </c>
      <c r="F439" s="79">
        <f t="shared" si="287"/>
        <v>1.05</v>
      </c>
      <c r="G439" s="90" t="s">
        <v>41</v>
      </c>
      <c r="H439" s="80">
        <v>400</v>
      </c>
      <c r="I439" s="80">
        <f t="shared" si="290"/>
        <v>420</v>
      </c>
      <c r="J439" s="80">
        <v>0</v>
      </c>
      <c r="K439" s="80">
        <f t="shared" si="291"/>
        <v>0</v>
      </c>
      <c r="L439" s="27">
        <f t="shared" si="288"/>
        <v>400</v>
      </c>
      <c r="M439" s="81">
        <f t="shared" si="289"/>
        <v>420</v>
      </c>
      <c r="N439" s="82"/>
      <c r="O439" s="3"/>
      <c r="P439" s="3"/>
      <c r="S439" s="35"/>
    </row>
    <row r="440" spans="1:19" s="4" customFormat="1" ht="15.75" customHeight="1">
      <c r="A440" s="78" t="s">
        <v>38</v>
      </c>
      <c r="B440" s="78" t="s">
        <v>39</v>
      </c>
      <c r="C440" s="100" t="s">
        <v>240</v>
      </c>
      <c r="D440" s="104">
        <v>57.89</v>
      </c>
      <c r="E440" s="26">
        <v>0.05</v>
      </c>
      <c r="F440" s="79">
        <f t="shared" si="282"/>
        <v>60.784500000000001</v>
      </c>
      <c r="G440" s="90" t="s">
        <v>49</v>
      </c>
      <c r="H440" s="80">
        <v>0.5</v>
      </c>
      <c r="I440" s="80">
        <f t="shared" ref="I440:I442" si="292">H440*F440</f>
        <v>30.392250000000001</v>
      </c>
      <c r="J440" s="80">
        <v>0.43</v>
      </c>
      <c r="K440" s="80">
        <f t="shared" ref="K440:K442" si="293">J440*F440</f>
        <v>26.137335</v>
      </c>
      <c r="L440" s="27">
        <f t="shared" si="285"/>
        <v>0.92999999999999994</v>
      </c>
      <c r="M440" s="81">
        <f t="shared" si="286"/>
        <v>56.529584999999997</v>
      </c>
      <c r="N440" s="82"/>
      <c r="O440" s="3"/>
      <c r="P440" s="3"/>
      <c r="S440" s="35"/>
    </row>
    <row r="441" spans="1:19" s="4" customFormat="1" ht="15.75" customHeight="1">
      <c r="A441" s="78" t="s">
        <v>38</v>
      </c>
      <c r="B441" s="78" t="s">
        <v>39</v>
      </c>
      <c r="C441" s="100" t="s">
        <v>241</v>
      </c>
      <c r="D441" s="104">
        <v>1</v>
      </c>
      <c r="E441" s="26">
        <v>0.05</v>
      </c>
      <c r="F441" s="79">
        <f t="shared" si="282"/>
        <v>1.05</v>
      </c>
      <c r="G441" s="90" t="s">
        <v>41</v>
      </c>
      <c r="H441" s="80">
        <v>300</v>
      </c>
      <c r="I441" s="80">
        <f t="shared" si="292"/>
        <v>315</v>
      </c>
      <c r="J441" s="80">
        <v>0</v>
      </c>
      <c r="K441" s="80">
        <f t="shared" si="293"/>
        <v>0</v>
      </c>
      <c r="L441" s="27">
        <f t="shared" si="285"/>
        <v>300</v>
      </c>
      <c r="M441" s="81">
        <f t="shared" si="286"/>
        <v>315</v>
      </c>
      <c r="N441" s="82"/>
      <c r="O441" s="3"/>
      <c r="P441" s="3"/>
      <c r="S441" s="35"/>
    </row>
    <row r="442" spans="1:19" s="4" customFormat="1" ht="15.75" customHeight="1">
      <c r="A442" s="78" t="s">
        <v>38</v>
      </c>
      <c r="B442" s="78" t="s">
        <v>39</v>
      </c>
      <c r="C442" s="100" t="s">
        <v>242</v>
      </c>
      <c r="D442" s="104">
        <v>2</v>
      </c>
      <c r="E442" s="26">
        <v>0.05</v>
      </c>
      <c r="F442" s="79">
        <f t="shared" si="282"/>
        <v>2.1</v>
      </c>
      <c r="G442" s="90" t="s">
        <v>41</v>
      </c>
      <c r="H442" s="80">
        <f>20*0.7</f>
        <v>14</v>
      </c>
      <c r="I442" s="80">
        <f t="shared" si="292"/>
        <v>29.400000000000002</v>
      </c>
      <c r="J442" s="80">
        <f>20*0.4</f>
        <v>8</v>
      </c>
      <c r="K442" s="80">
        <f t="shared" si="293"/>
        <v>16.8</v>
      </c>
      <c r="L442" s="27">
        <f t="shared" si="285"/>
        <v>22</v>
      </c>
      <c r="M442" s="81">
        <f t="shared" si="286"/>
        <v>46.2</v>
      </c>
      <c r="N442" s="82"/>
      <c r="O442" s="3"/>
      <c r="P442" s="3"/>
      <c r="S442" s="35"/>
    </row>
    <row r="443" spans="1:19" s="4" customFormat="1" ht="15.75" customHeight="1">
      <c r="A443" s="78" t="s">
        <v>38</v>
      </c>
      <c r="B443" s="78" t="s">
        <v>39</v>
      </c>
      <c r="C443" s="100" t="s">
        <v>243</v>
      </c>
      <c r="D443" s="104">
        <v>1</v>
      </c>
      <c r="E443" s="26">
        <v>0.05</v>
      </c>
      <c r="F443" s="79">
        <f>D443*(1+E443)</f>
        <v>1.05</v>
      </c>
      <c r="G443" s="90" t="s">
        <v>41</v>
      </c>
      <c r="H443" s="80">
        <f>16*0.7</f>
        <v>11.2</v>
      </c>
      <c r="I443" s="80">
        <f>H443*F443</f>
        <v>11.76</v>
      </c>
      <c r="J443" s="80">
        <f>0.4*16</f>
        <v>6.4</v>
      </c>
      <c r="K443" s="80">
        <f>J443*F443</f>
        <v>6.7200000000000006</v>
      </c>
      <c r="L443" s="27">
        <f>(H443+J443)</f>
        <v>17.600000000000001</v>
      </c>
      <c r="M443" s="81">
        <f>L443*F443</f>
        <v>18.480000000000004</v>
      </c>
      <c r="N443" s="82"/>
      <c r="O443" s="3"/>
      <c r="P443" s="3"/>
      <c r="S443" s="35"/>
    </row>
    <row r="444" spans="1:19" s="4" customFormat="1" ht="15.75" customHeight="1">
      <c r="A444" s="78" t="s">
        <v>38</v>
      </c>
      <c r="B444" s="78" t="s">
        <v>39</v>
      </c>
      <c r="C444" s="100" t="s">
        <v>244</v>
      </c>
      <c r="D444" s="104">
        <v>1</v>
      </c>
      <c r="E444" s="26">
        <v>0.05</v>
      </c>
      <c r="F444" s="79">
        <f>D444*(1+E444)</f>
        <v>1.05</v>
      </c>
      <c r="G444" s="90" t="s">
        <v>41</v>
      </c>
      <c r="H444" s="80">
        <v>200</v>
      </c>
      <c r="I444" s="80">
        <f>H444*F444</f>
        <v>210</v>
      </c>
      <c r="J444" s="80">
        <v>0</v>
      </c>
      <c r="K444" s="80">
        <f>J444*F444</f>
        <v>0</v>
      </c>
      <c r="L444" s="27">
        <f>(H444+J444)</f>
        <v>200</v>
      </c>
      <c r="M444" s="81">
        <f>L444*F444</f>
        <v>210</v>
      </c>
      <c r="N444" s="82"/>
      <c r="O444" s="3"/>
      <c r="P444" s="3"/>
      <c r="S444" s="35"/>
    </row>
    <row r="445" spans="1:19" s="4" customFormat="1" ht="15.75" customHeight="1">
      <c r="A445" s="78" t="s">
        <v>38</v>
      </c>
      <c r="B445" s="78" t="s">
        <v>39</v>
      </c>
      <c r="C445" s="100" t="s">
        <v>245</v>
      </c>
      <c r="D445" s="104">
        <v>38.25</v>
      </c>
      <c r="E445" s="26">
        <v>0.05</v>
      </c>
      <c r="F445" s="79">
        <f>D445*(1+E445)</f>
        <v>40.162500000000001</v>
      </c>
      <c r="G445" s="90" t="s">
        <v>47</v>
      </c>
      <c r="H445" s="80">
        <v>2.2000000000000002</v>
      </c>
      <c r="I445" s="80">
        <f>H445*F445</f>
        <v>88.357500000000016</v>
      </c>
      <c r="J445" s="80">
        <v>1.9</v>
      </c>
      <c r="K445" s="80">
        <f>J445*F445</f>
        <v>76.308750000000003</v>
      </c>
      <c r="L445" s="27">
        <f>(H445+J445)</f>
        <v>4.0999999999999996</v>
      </c>
      <c r="M445" s="81">
        <f>L445*F445</f>
        <v>164.66624999999999</v>
      </c>
      <c r="N445" s="82"/>
      <c r="O445" s="3"/>
      <c r="P445" s="3"/>
      <c r="S445" s="35"/>
    </row>
    <row r="446" spans="1:19" s="4" customFormat="1">
      <c r="A446" s="78"/>
      <c r="B446" s="78"/>
      <c r="C446" s="88"/>
      <c r="D446" s="89"/>
      <c r="E446" s="26"/>
      <c r="F446" s="79"/>
      <c r="G446" s="90"/>
      <c r="H446" s="80"/>
      <c r="I446" s="65"/>
      <c r="J446" s="65"/>
      <c r="K446" s="65"/>
      <c r="L446" s="72"/>
      <c r="M446" s="66"/>
      <c r="N446" s="22"/>
      <c r="O446" s="3"/>
      <c r="P446" s="3"/>
      <c r="S446" s="35"/>
    </row>
    <row r="447" spans="1:19" s="4" customFormat="1">
      <c r="A447" s="56"/>
      <c r="B447" s="56"/>
      <c r="C447" s="56" t="s">
        <v>246</v>
      </c>
      <c r="D447" s="94"/>
      <c r="E447" s="19"/>
      <c r="F447" s="19"/>
      <c r="G447" s="19"/>
      <c r="H447" s="19"/>
      <c r="I447" s="19"/>
      <c r="J447" s="19"/>
      <c r="K447" s="19"/>
      <c r="L447" s="71"/>
      <c r="M447" s="19"/>
      <c r="N447" s="20">
        <f>SUM(M448:M462)</f>
        <v>6698.4438577777773</v>
      </c>
      <c r="O447" s="3" t="s">
        <v>25</v>
      </c>
      <c r="P447" s="3"/>
      <c r="S447" s="35"/>
    </row>
    <row r="448" spans="1:19" s="4" customFormat="1" ht="15.75" customHeight="1">
      <c r="A448" s="62"/>
      <c r="B448" s="62"/>
      <c r="C448" s="62"/>
      <c r="D448" s="63"/>
      <c r="E448" s="64"/>
      <c r="F448" s="25"/>
      <c r="G448" s="65"/>
      <c r="H448" s="80"/>
      <c r="I448" s="65"/>
      <c r="J448" s="65"/>
      <c r="K448" s="65"/>
      <c r="L448" s="72"/>
      <c r="M448" s="66"/>
      <c r="N448" s="22"/>
      <c r="O448" s="3"/>
      <c r="P448" s="3"/>
      <c r="S448" s="35"/>
    </row>
    <row r="449" spans="1:19" s="4" customFormat="1" ht="15.75" customHeight="1">
      <c r="A449" s="78"/>
      <c r="B449" s="78"/>
      <c r="C449" s="99" t="s">
        <v>247</v>
      </c>
      <c r="D449" s="104"/>
      <c r="E449" s="26"/>
      <c r="F449" s="79"/>
      <c r="G449" s="108" t="s">
        <v>34</v>
      </c>
      <c r="H449" s="80"/>
      <c r="I449" s="80"/>
      <c r="J449" s="80"/>
      <c r="K449" s="80"/>
      <c r="L449" s="27"/>
      <c r="M449" s="81"/>
      <c r="N449" s="82"/>
      <c r="O449" s="3"/>
      <c r="P449" s="3"/>
      <c r="S449" s="35"/>
    </row>
    <row r="450" spans="1:19" s="4" customFormat="1" ht="15.75" customHeight="1">
      <c r="A450" s="78" t="s">
        <v>38</v>
      </c>
      <c r="B450" s="78" t="s">
        <v>39</v>
      </c>
      <c r="C450" s="100" t="s">
        <v>248</v>
      </c>
      <c r="D450" s="104">
        <v>16</v>
      </c>
      <c r="E450" s="26">
        <v>0.05</v>
      </c>
      <c r="F450" s="79">
        <f t="shared" si="263"/>
        <v>16.8</v>
      </c>
      <c r="G450" s="90" t="s">
        <v>41</v>
      </c>
      <c r="H450" s="80">
        <v>180</v>
      </c>
      <c r="I450" s="80">
        <f t="shared" si="264"/>
        <v>3024</v>
      </c>
      <c r="J450" s="80">
        <v>0</v>
      </c>
      <c r="K450" s="80">
        <f t="shared" si="265"/>
        <v>0</v>
      </c>
      <c r="L450" s="27">
        <f t="shared" si="266"/>
        <v>180</v>
      </c>
      <c r="M450" s="81">
        <f t="shared" si="267"/>
        <v>3024</v>
      </c>
      <c r="N450" s="82"/>
      <c r="O450" s="3"/>
      <c r="P450" s="3"/>
      <c r="S450" s="35"/>
    </row>
    <row r="451" spans="1:19" s="4" customFormat="1" ht="15.75" customHeight="1">
      <c r="A451" s="78" t="s">
        <v>38</v>
      </c>
      <c r="B451" s="78" t="s">
        <v>39</v>
      </c>
      <c r="C451" s="100" t="s">
        <v>97</v>
      </c>
      <c r="D451" s="104">
        <f>3.14*1*1*0.25*1.5*16/27</f>
        <v>0.69777777777777772</v>
      </c>
      <c r="E451" s="26">
        <v>0.05</v>
      </c>
      <c r="F451" s="79">
        <f t="shared" ref="F451:F455" si="294">D451*(1+E451)</f>
        <v>0.73266666666666669</v>
      </c>
      <c r="G451" s="90" t="s">
        <v>98</v>
      </c>
      <c r="H451" s="80">
        <v>70</v>
      </c>
      <c r="I451" s="80">
        <f t="shared" ref="I451:I455" si="295">H451*F451</f>
        <v>51.286666666666669</v>
      </c>
      <c r="J451" s="80">
        <v>140</v>
      </c>
      <c r="K451" s="80">
        <f t="shared" ref="K451:K455" si="296">J451*F451</f>
        <v>102.57333333333334</v>
      </c>
      <c r="L451" s="27">
        <f t="shared" ref="L451:L455" si="297">(H451+J451)</f>
        <v>210</v>
      </c>
      <c r="M451" s="81">
        <f t="shared" ref="M451:M455" si="298">L451*F451</f>
        <v>153.86000000000001</v>
      </c>
      <c r="N451" s="82"/>
      <c r="O451" s="3"/>
      <c r="P451" s="3"/>
      <c r="S451" s="35"/>
    </row>
    <row r="452" spans="1:19" s="4" customFormat="1" ht="15.75" customHeight="1">
      <c r="A452" s="78" t="s">
        <v>38</v>
      </c>
      <c r="B452" s="78" t="s">
        <v>39</v>
      </c>
      <c r="C452" s="100" t="s">
        <v>249</v>
      </c>
      <c r="D452" s="104">
        <f>3.14*1*1.5*16</f>
        <v>75.36</v>
      </c>
      <c r="E452" s="26">
        <v>0.05</v>
      </c>
      <c r="F452" s="79">
        <f t="shared" si="294"/>
        <v>79.128</v>
      </c>
      <c r="G452" s="90" t="s">
        <v>100</v>
      </c>
      <c r="H452" s="80">
        <v>5</v>
      </c>
      <c r="I452" s="80">
        <f t="shared" si="295"/>
        <v>395.64</v>
      </c>
      <c r="J452" s="80">
        <v>1.5</v>
      </c>
      <c r="K452" s="80">
        <f t="shared" si="296"/>
        <v>118.69200000000001</v>
      </c>
      <c r="L452" s="27">
        <f t="shared" si="297"/>
        <v>6.5</v>
      </c>
      <c r="M452" s="81">
        <f t="shared" si="298"/>
        <v>514.33199999999999</v>
      </c>
      <c r="N452" s="82"/>
      <c r="O452" s="3"/>
      <c r="P452" s="3"/>
      <c r="S452" s="35"/>
    </row>
    <row r="453" spans="1:19" s="4" customFormat="1" ht="15.75" customHeight="1">
      <c r="A453" s="78" t="s">
        <v>38</v>
      </c>
      <c r="B453" s="78" t="s">
        <v>39</v>
      </c>
      <c r="C453" s="100" t="s">
        <v>101</v>
      </c>
      <c r="D453" s="104">
        <f>3.14*2*2*2*16*0.25/27</f>
        <v>3.7214814814814816</v>
      </c>
      <c r="E453" s="26">
        <v>0.05</v>
      </c>
      <c r="F453" s="79">
        <f t="shared" si="294"/>
        <v>3.9075555555555557</v>
      </c>
      <c r="G453" s="90" t="s">
        <v>98</v>
      </c>
      <c r="H453" s="80">
        <v>34</v>
      </c>
      <c r="I453" s="80">
        <f t="shared" si="295"/>
        <v>132.8568888888889</v>
      </c>
      <c r="J453" s="80">
        <v>0</v>
      </c>
      <c r="K453" s="80">
        <f t="shared" si="296"/>
        <v>0</v>
      </c>
      <c r="L453" s="27">
        <f t="shared" si="297"/>
        <v>34</v>
      </c>
      <c r="M453" s="81">
        <f t="shared" si="298"/>
        <v>132.8568888888889</v>
      </c>
      <c r="N453" s="82"/>
      <c r="O453" s="3"/>
      <c r="P453" s="3"/>
      <c r="S453" s="35"/>
    </row>
    <row r="454" spans="1:19" s="4" customFormat="1" ht="15.75" customHeight="1">
      <c r="A454" s="78" t="s">
        <v>38</v>
      </c>
      <c r="B454" s="78" t="s">
        <v>39</v>
      </c>
      <c r="C454" s="100" t="s">
        <v>102</v>
      </c>
      <c r="D454" s="104">
        <f>D453-D451</f>
        <v>3.023703703703704</v>
      </c>
      <c r="E454" s="26">
        <v>0.05</v>
      </c>
      <c r="F454" s="79">
        <f t="shared" si="294"/>
        <v>3.1748888888888893</v>
      </c>
      <c r="G454" s="90" t="s">
        <v>98</v>
      </c>
      <c r="H454" s="80">
        <v>32</v>
      </c>
      <c r="I454" s="80">
        <f t="shared" si="295"/>
        <v>101.59644444444446</v>
      </c>
      <c r="J454" s="80">
        <v>0</v>
      </c>
      <c r="K454" s="80">
        <f t="shared" si="296"/>
        <v>0</v>
      </c>
      <c r="L454" s="27">
        <f t="shared" si="297"/>
        <v>32</v>
      </c>
      <c r="M454" s="81">
        <f t="shared" si="298"/>
        <v>101.59644444444446</v>
      </c>
      <c r="N454" s="82"/>
      <c r="O454" s="3"/>
      <c r="P454" s="3"/>
      <c r="S454" s="35"/>
    </row>
    <row r="455" spans="1:19" s="4" customFormat="1" ht="15.75" customHeight="1">
      <c r="A455" s="78" t="s">
        <v>38</v>
      </c>
      <c r="B455" s="78" t="s">
        <v>39</v>
      </c>
      <c r="C455" s="100" t="s">
        <v>250</v>
      </c>
      <c r="D455" s="110">
        <f>3.14*1*1*0.25*0.33*16/27</f>
        <v>0.15351111111111113</v>
      </c>
      <c r="E455" s="26">
        <v>0.05</v>
      </c>
      <c r="F455" s="111">
        <f t="shared" si="294"/>
        <v>0.1611866666666667</v>
      </c>
      <c r="G455" s="90" t="s">
        <v>98</v>
      </c>
      <c r="H455" s="80">
        <v>16</v>
      </c>
      <c r="I455" s="80">
        <f t="shared" si="295"/>
        <v>2.5789866666666672</v>
      </c>
      <c r="J455" s="80">
        <v>38</v>
      </c>
      <c r="K455" s="80">
        <f t="shared" si="296"/>
        <v>6.1250933333333348</v>
      </c>
      <c r="L455" s="27">
        <f t="shared" si="297"/>
        <v>54</v>
      </c>
      <c r="M455" s="81">
        <f t="shared" si="298"/>
        <v>8.7040800000000011</v>
      </c>
      <c r="N455" s="82"/>
      <c r="O455" s="3"/>
      <c r="P455" s="3"/>
      <c r="S455" s="35"/>
    </row>
    <row r="456" spans="1:19" s="4" customFormat="1" ht="15.75" customHeight="1">
      <c r="A456" s="78"/>
      <c r="B456" s="78"/>
      <c r="C456" s="100"/>
      <c r="D456" s="104"/>
      <c r="E456" s="26"/>
      <c r="F456" s="79"/>
      <c r="G456" s="90"/>
      <c r="H456" s="80"/>
      <c r="I456" s="80"/>
      <c r="J456" s="80"/>
      <c r="K456" s="80"/>
      <c r="L456" s="27"/>
      <c r="M456" s="81"/>
      <c r="N456" s="82"/>
      <c r="O456" s="3"/>
      <c r="P456" s="3"/>
      <c r="S456" s="35"/>
    </row>
    <row r="457" spans="1:19" s="4" customFormat="1" ht="15.75" customHeight="1">
      <c r="A457" s="78"/>
      <c r="B457" s="78"/>
      <c r="C457" s="99" t="s">
        <v>251</v>
      </c>
      <c r="D457" s="104"/>
      <c r="E457" s="26"/>
      <c r="F457" s="79"/>
      <c r="G457" s="108" t="s">
        <v>34</v>
      </c>
      <c r="H457" s="80"/>
      <c r="I457" s="80"/>
      <c r="J457" s="80"/>
      <c r="K457" s="80"/>
      <c r="L457" s="27"/>
      <c r="M457" s="81"/>
      <c r="N457" s="82"/>
      <c r="O457" s="3"/>
      <c r="P457" s="3"/>
      <c r="S457" s="35"/>
    </row>
    <row r="458" spans="1:19" s="4" customFormat="1" ht="15.75" customHeight="1">
      <c r="A458" s="78" t="s">
        <v>38</v>
      </c>
      <c r="B458" s="78" t="s">
        <v>39</v>
      </c>
      <c r="C458" s="100" t="s">
        <v>251</v>
      </c>
      <c r="D458" s="104">
        <v>10</v>
      </c>
      <c r="E458" s="26">
        <v>0.05</v>
      </c>
      <c r="F458" s="79">
        <f t="shared" si="263"/>
        <v>10.5</v>
      </c>
      <c r="G458" s="90" t="s">
        <v>41</v>
      </c>
      <c r="H458" s="80">
        <v>180</v>
      </c>
      <c r="I458" s="80">
        <f t="shared" ref="I458:I462" si="299">H458*F458</f>
        <v>1890</v>
      </c>
      <c r="J458" s="80">
        <v>0</v>
      </c>
      <c r="K458" s="80">
        <f t="shared" ref="K458:K462" si="300">J458*F458</f>
        <v>0</v>
      </c>
      <c r="L458" s="27">
        <f t="shared" si="266"/>
        <v>180</v>
      </c>
      <c r="M458" s="81">
        <f t="shared" si="267"/>
        <v>1890</v>
      </c>
      <c r="N458" s="82"/>
      <c r="O458" s="3"/>
      <c r="P458" s="3"/>
      <c r="S458" s="35"/>
    </row>
    <row r="459" spans="1:19" s="4" customFormat="1" ht="15.75" customHeight="1">
      <c r="A459" s="78" t="s">
        <v>38</v>
      </c>
      <c r="B459" s="78" t="s">
        <v>39</v>
      </c>
      <c r="C459" s="100" t="s">
        <v>97</v>
      </c>
      <c r="D459" s="104">
        <f>3.14*1*1*2.5*10*0.25/27</f>
        <v>0.72685185185185186</v>
      </c>
      <c r="E459" s="26">
        <v>0.05</v>
      </c>
      <c r="F459" s="79">
        <f t="shared" ref="F459:F462" si="301">D459*(1+E459)</f>
        <v>0.76319444444444451</v>
      </c>
      <c r="G459" s="90" t="s">
        <v>98</v>
      </c>
      <c r="H459" s="80">
        <v>70</v>
      </c>
      <c r="I459" s="80">
        <f t="shared" si="299"/>
        <v>53.423611111111114</v>
      </c>
      <c r="J459" s="80">
        <v>140</v>
      </c>
      <c r="K459" s="80">
        <f t="shared" si="300"/>
        <v>106.84722222222223</v>
      </c>
      <c r="L459" s="27">
        <f t="shared" ref="L459:L462" si="302">(H459+J459)</f>
        <v>210</v>
      </c>
      <c r="M459" s="81">
        <f t="shared" ref="M459:M462" si="303">L459*F459</f>
        <v>160.27083333333334</v>
      </c>
      <c r="N459" s="82"/>
      <c r="O459" s="3"/>
      <c r="P459" s="3"/>
      <c r="S459" s="35"/>
    </row>
    <row r="460" spans="1:19" s="4" customFormat="1" ht="15.75" customHeight="1">
      <c r="A460" s="78" t="s">
        <v>38</v>
      </c>
      <c r="B460" s="78" t="s">
        <v>39</v>
      </c>
      <c r="C460" s="100" t="s">
        <v>249</v>
      </c>
      <c r="D460" s="104">
        <f>3.14*1*2.5*10</f>
        <v>78.5</v>
      </c>
      <c r="E460" s="26">
        <v>0.05</v>
      </c>
      <c r="F460" s="79">
        <f t="shared" si="301"/>
        <v>82.424999999999997</v>
      </c>
      <c r="G460" s="90" t="s">
        <v>100</v>
      </c>
      <c r="H460" s="80">
        <v>5</v>
      </c>
      <c r="I460" s="80">
        <f t="shared" si="299"/>
        <v>412.125</v>
      </c>
      <c r="J460" s="80">
        <v>1.5</v>
      </c>
      <c r="K460" s="80">
        <f t="shared" si="300"/>
        <v>123.63749999999999</v>
      </c>
      <c r="L460" s="27">
        <f t="shared" si="302"/>
        <v>6.5</v>
      </c>
      <c r="M460" s="81">
        <f t="shared" si="303"/>
        <v>535.76249999999993</v>
      </c>
      <c r="N460" s="82"/>
      <c r="O460" s="3"/>
      <c r="P460" s="3"/>
      <c r="S460" s="35"/>
    </row>
    <row r="461" spans="1:19" s="4" customFormat="1" ht="15.75" customHeight="1">
      <c r="A461" s="78" t="s">
        <v>38</v>
      </c>
      <c r="B461" s="78" t="s">
        <v>39</v>
      </c>
      <c r="C461" s="100" t="s">
        <v>101</v>
      </c>
      <c r="D461" s="104">
        <f>3.14*2*2*2.5*10*0.25/27</f>
        <v>2.9074074074074074</v>
      </c>
      <c r="E461" s="26">
        <v>0.05</v>
      </c>
      <c r="F461" s="79">
        <f t="shared" si="301"/>
        <v>3.052777777777778</v>
      </c>
      <c r="G461" s="90" t="s">
        <v>98</v>
      </c>
      <c r="H461" s="80">
        <v>34</v>
      </c>
      <c r="I461" s="80">
        <f t="shared" si="299"/>
        <v>103.79444444444445</v>
      </c>
      <c r="J461" s="80">
        <v>0</v>
      </c>
      <c r="K461" s="80">
        <f t="shared" si="300"/>
        <v>0</v>
      </c>
      <c r="L461" s="27">
        <f t="shared" si="302"/>
        <v>34</v>
      </c>
      <c r="M461" s="81">
        <f t="shared" si="303"/>
        <v>103.79444444444445</v>
      </c>
      <c r="N461" s="82"/>
      <c r="O461" s="3"/>
      <c r="P461" s="3"/>
      <c r="S461" s="35"/>
    </row>
    <row r="462" spans="1:19" s="4" customFormat="1" ht="15.75" customHeight="1">
      <c r="A462" s="78" t="s">
        <v>38</v>
      </c>
      <c r="B462" s="78" t="s">
        <v>39</v>
      </c>
      <c r="C462" s="100" t="s">
        <v>102</v>
      </c>
      <c r="D462" s="104">
        <f>D461-D459</f>
        <v>2.1805555555555554</v>
      </c>
      <c r="E462" s="26">
        <v>0.05</v>
      </c>
      <c r="F462" s="79">
        <f t="shared" si="301"/>
        <v>2.2895833333333333</v>
      </c>
      <c r="G462" s="90" t="s">
        <v>98</v>
      </c>
      <c r="H462" s="80">
        <v>32</v>
      </c>
      <c r="I462" s="80">
        <f t="shared" si="299"/>
        <v>73.266666666666666</v>
      </c>
      <c r="J462" s="80">
        <v>0</v>
      </c>
      <c r="K462" s="80">
        <f t="shared" si="300"/>
        <v>0</v>
      </c>
      <c r="L462" s="27">
        <f t="shared" si="302"/>
        <v>32</v>
      </c>
      <c r="M462" s="81">
        <f t="shared" si="303"/>
        <v>73.266666666666666</v>
      </c>
      <c r="N462" s="82"/>
      <c r="O462" s="3"/>
      <c r="P462" s="3"/>
      <c r="S462" s="35"/>
    </row>
    <row r="463" spans="1:19" s="4" customFormat="1">
      <c r="A463" s="78"/>
      <c r="B463" s="78"/>
      <c r="C463" s="88"/>
      <c r="D463" s="89"/>
      <c r="E463" s="26"/>
      <c r="F463" s="79"/>
      <c r="G463" s="90"/>
      <c r="H463" s="80"/>
      <c r="I463" s="65"/>
      <c r="J463" s="65"/>
      <c r="K463" s="65"/>
      <c r="L463" s="72"/>
      <c r="M463" s="66"/>
      <c r="N463" s="22"/>
      <c r="O463" s="3"/>
      <c r="P463" s="3"/>
      <c r="S463" s="35"/>
    </row>
    <row r="464" spans="1:19" s="4" customFormat="1">
      <c r="A464" s="56"/>
      <c r="B464" s="56"/>
      <c r="C464" s="56" t="s">
        <v>252</v>
      </c>
      <c r="D464" s="94"/>
      <c r="E464" s="19"/>
      <c r="F464" s="19"/>
      <c r="G464" s="19"/>
      <c r="H464" s="19"/>
      <c r="I464" s="19"/>
      <c r="J464" s="19"/>
      <c r="K464" s="19"/>
      <c r="L464" s="71"/>
      <c r="M464" s="19"/>
      <c r="N464" s="20">
        <f>SUM(M465:M476)</f>
        <v>11115.09</v>
      </c>
      <c r="O464" s="3" t="s">
        <v>25</v>
      </c>
      <c r="P464" s="3"/>
      <c r="S464" s="35"/>
    </row>
    <row r="465" spans="1:19" s="4" customFormat="1" ht="15.75" customHeight="1">
      <c r="A465" s="62"/>
      <c r="B465" s="62"/>
      <c r="C465" s="62"/>
      <c r="D465" s="63"/>
      <c r="E465" s="64"/>
      <c r="F465" s="25"/>
      <c r="G465" s="65"/>
      <c r="H465" s="80"/>
      <c r="I465" s="65"/>
      <c r="J465" s="65"/>
      <c r="K465" s="65"/>
      <c r="L465" s="72"/>
      <c r="M465" s="66"/>
      <c r="N465" s="22"/>
      <c r="O465" s="3"/>
      <c r="P465" s="3"/>
      <c r="S465" s="35"/>
    </row>
    <row r="466" spans="1:19" s="4" customFormat="1" ht="15.75" customHeight="1">
      <c r="A466" s="78"/>
      <c r="B466" s="78"/>
      <c r="C466" s="99" t="s">
        <v>253</v>
      </c>
      <c r="D466" s="101"/>
      <c r="E466" s="101"/>
      <c r="F466" s="101"/>
      <c r="G466" s="102"/>
      <c r="H466" s="80"/>
      <c r="I466" s="80"/>
      <c r="J466" s="80"/>
      <c r="K466" s="80"/>
      <c r="L466" s="27"/>
      <c r="M466" s="81"/>
      <c r="N466" s="82"/>
      <c r="O466" s="3"/>
      <c r="P466" s="3"/>
      <c r="S466" s="35"/>
    </row>
    <row r="467" spans="1:19" s="4" customFormat="1" ht="15.75" customHeight="1">
      <c r="A467" s="78" t="s">
        <v>38</v>
      </c>
      <c r="B467" s="78" t="s">
        <v>39</v>
      </c>
      <c r="C467" s="100" t="s">
        <v>254</v>
      </c>
      <c r="D467" s="104">
        <v>1</v>
      </c>
      <c r="E467" s="26">
        <v>0.05</v>
      </c>
      <c r="F467" s="79">
        <f t="shared" ref="F467:F468" si="304">D467*(1+E467)</f>
        <v>1.05</v>
      </c>
      <c r="G467" s="90" t="s">
        <v>41</v>
      </c>
      <c r="H467" s="80">
        <f>78*4.83</f>
        <v>376.74</v>
      </c>
      <c r="I467" s="80">
        <f t="shared" ref="I467" si="305">H467*F467</f>
        <v>395.577</v>
      </c>
      <c r="J467" s="80">
        <f>152*4.83</f>
        <v>734.16</v>
      </c>
      <c r="K467" s="80">
        <f t="shared" ref="K467:K468" si="306">J467*F467</f>
        <v>770.86800000000005</v>
      </c>
      <c r="L467" s="27">
        <f t="shared" ref="L467:L468" si="307">(H467+J467)</f>
        <v>1110.9000000000001</v>
      </c>
      <c r="M467" s="81">
        <f t="shared" ref="M467:M468" si="308">L467*F467</f>
        <v>1166.4450000000002</v>
      </c>
      <c r="N467" s="82"/>
      <c r="O467" s="3"/>
      <c r="P467" s="3"/>
      <c r="S467" s="35"/>
    </row>
    <row r="468" spans="1:19" s="4" customFormat="1" ht="15.75" customHeight="1">
      <c r="A468" s="78" t="s">
        <v>38</v>
      </c>
      <c r="B468" s="78" t="s">
        <v>39</v>
      </c>
      <c r="C468" s="100" t="s">
        <v>255</v>
      </c>
      <c r="D468" s="104">
        <v>1</v>
      </c>
      <c r="E468" s="26">
        <v>0.05</v>
      </c>
      <c r="F468" s="79">
        <f t="shared" si="304"/>
        <v>1.05</v>
      </c>
      <c r="G468" s="90" t="s">
        <v>41</v>
      </c>
      <c r="H468" s="80">
        <f>78*4</f>
        <v>312</v>
      </c>
      <c r="I468" s="80">
        <f t="shared" ref="I468" si="309">H468*F468</f>
        <v>327.60000000000002</v>
      </c>
      <c r="J468" s="80">
        <f>152*4</f>
        <v>608</v>
      </c>
      <c r="K468" s="80">
        <f t="shared" si="306"/>
        <v>638.4</v>
      </c>
      <c r="L468" s="27">
        <f t="shared" si="307"/>
        <v>920</v>
      </c>
      <c r="M468" s="81">
        <f t="shared" si="308"/>
        <v>966</v>
      </c>
      <c r="N468" s="82"/>
      <c r="O468" s="3"/>
      <c r="P468" s="3"/>
      <c r="S468" s="35"/>
    </row>
    <row r="469" spans="1:19" s="4" customFormat="1" ht="15.75" customHeight="1">
      <c r="A469" s="78" t="s">
        <v>38</v>
      </c>
      <c r="B469" s="78" t="s">
        <v>39</v>
      </c>
      <c r="C469" s="100" t="s">
        <v>256</v>
      </c>
      <c r="D469" s="104">
        <v>1</v>
      </c>
      <c r="E469" s="26">
        <v>0.05</v>
      </c>
      <c r="F469" s="79">
        <f t="shared" si="2"/>
        <v>1.05</v>
      </c>
      <c r="G469" s="90" t="s">
        <v>41</v>
      </c>
      <c r="H469" s="80">
        <f>88*4</f>
        <v>352</v>
      </c>
      <c r="I469" s="80">
        <f t="shared" ref="I469" si="310">H469*F469</f>
        <v>369.6</v>
      </c>
      <c r="J469" s="80">
        <f>163*4</f>
        <v>652</v>
      </c>
      <c r="K469" s="80">
        <f t="shared" si="4"/>
        <v>684.6</v>
      </c>
      <c r="L469" s="27">
        <f t="shared" si="6"/>
        <v>1004</v>
      </c>
      <c r="M469" s="81">
        <f t="shared" si="5"/>
        <v>1054.2</v>
      </c>
      <c r="N469" s="82"/>
      <c r="O469" s="3"/>
      <c r="P469" s="3"/>
      <c r="S469" s="35"/>
    </row>
    <row r="470" spans="1:19" s="4" customFormat="1" ht="15.75" customHeight="1">
      <c r="A470" s="78" t="s">
        <v>38</v>
      </c>
      <c r="B470" s="78" t="s">
        <v>39</v>
      </c>
      <c r="C470" s="100" t="s">
        <v>257</v>
      </c>
      <c r="D470" s="104">
        <v>1</v>
      </c>
      <c r="E470" s="26">
        <v>0.05</v>
      </c>
      <c r="F470" s="79">
        <f t="shared" si="2"/>
        <v>1.05</v>
      </c>
      <c r="G470" s="90" t="s">
        <v>41</v>
      </c>
      <c r="H470" s="80">
        <f>78*4</f>
        <v>312</v>
      </c>
      <c r="I470" s="80">
        <f t="shared" ref="I470" si="311">H470*F470</f>
        <v>327.60000000000002</v>
      </c>
      <c r="J470" s="80">
        <f>152*4</f>
        <v>608</v>
      </c>
      <c r="K470" s="80">
        <f t="shared" ref="K470" si="312">J470*F470</f>
        <v>638.4</v>
      </c>
      <c r="L470" s="27">
        <f t="shared" si="6"/>
        <v>920</v>
      </c>
      <c r="M470" s="81">
        <f t="shared" si="5"/>
        <v>966</v>
      </c>
      <c r="N470" s="82"/>
      <c r="O470" s="3"/>
      <c r="P470" s="3"/>
      <c r="S470" s="35"/>
    </row>
    <row r="471" spans="1:19" s="4" customFormat="1" ht="15.75" customHeight="1">
      <c r="A471" s="78" t="s">
        <v>38</v>
      </c>
      <c r="B471" s="78" t="s">
        <v>39</v>
      </c>
      <c r="C471" s="100" t="s">
        <v>258</v>
      </c>
      <c r="D471" s="104">
        <v>1</v>
      </c>
      <c r="E471" s="26">
        <v>0.05</v>
      </c>
      <c r="F471" s="79">
        <f t="shared" si="2"/>
        <v>1.05</v>
      </c>
      <c r="G471" s="90" t="s">
        <v>41</v>
      </c>
      <c r="H471" s="80">
        <f>78*4</f>
        <v>312</v>
      </c>
      <c r="I471" s="80">
        <f t="shared" ref="I471" si="313">H471*F471</f>
        <v>327.60000000000002</v>
      </c>
      <c r="J471" s="80">
        <f>152*4</f>
        <v>608</v>
      </c>
      <c r="K471" s="80">
        <f t="shared" ref="K471" si="314">J471*F471</f>
        <v>638.4</v>
      </c>
      <c r="L471" s="27">
        <f t="shared" si="6"/>
        <v>920</v>
      </c>
      <c r="M471" s="81">
        <f t="shared" si="5"/>
        <v>966</v>
      </c>
      <c r="N471" s="82"/>
      <c r="O471" s="3"/>
      <c r="P471" s="3"/>
      <c r="S471" s="35"/>
    </row>
    <row r="472" spans="1:19" s="4" customFormat="1" ht="15.75" customHeight="1">
      <c r="A472" s="78" t="s">
        <v>38</v>
      </c>
      <c r="B472" s="78" t="s">
        <v>39</v>
      </c>
      <c r="C472" s="100" t="s">
        <v>259</v>
      </c>
      <c r="D472" s="104">
        <v>1</v>
      </c>
      <c r="E472" s="26">
        <v>0.05</v>
      </c>
      <c r="F472" s="79">
        <f t="shared" si="2"/>
        <v>1.05</v>
      </c>
      <c r="G472" s="90" t="s">
        <v>41</v>
      </c>
      <c r="H472" s="80">
        <f>78*4*1.3</f>
        <v>405.6</v>
      </c>
      <c r="I472" s="80">
        <f t="shared" ref="I472" si="315">H472*F472</f>
        <v>425.88000000000005</v>
      </c>
      <c r="J472" s="80">
        <f>152*4*1.3</f>
        <v>790.4</v>
      </c>
      <c r="K472" s="80">
        <f t="shared" ref="K472" si="316">J472*F472</f>
        <v>829.92</v>
      </c>
      <c r="L472" s="27">
        <f t="shared" si="6"/>
        <v>1196</v>
      </c>
      <c r="M472" s="81">
        <f t="shared" si="5"/>
        <v>1255.8</v>
      </c>
      <c r="N472" s="82"/>
      <c r="O472" s="3"/>
      <c r="P472" s="3"/>
      <c r="S472" s="35"/>
    </row>
    <row r="473" spans="1:19" s="4" customFormat="1" ht="15.75" customHeight="1">
      <c r="A473" s="78" t="s">
        <v>38</v>
      </c>
      <c r="B473" s="78" t="s">
        <v>39</v>
      </c>
      <c r="C473" s="100" t="s">
        <v>260</v>
      </c>
      <c r="D473" s="104">
        <v>1</v>
      </c>
      <c r="E473" s="26">
        <v>0.05</v>
      </c>
      <c r="F473" s="79">
        <f t="shared" ref="F473" si="317">D473*(1+E473)</f>
        <v>1.05</v>
      </c>
      <c r="G473" s="90" t="s">
        <v>41</v>
      </c>
      <c r="H473" s="80">
        <f>78*4*1.1</f>
        <v>343.20000000000005</v>
      </c>
      <c r="I473" s="80">
        <f t="shared" ref="I473:I476" si="318">H473*F473</f>
        <v>360.36000000000007</v>
      </c>
      <c r="J473" s="80">
        <f>152*4*1.1</f>
        <v>668.80000000000007</v>
      </c>
      <c r="K473" s="80">
        <f t="shared" ref="K473" si="319">J473*F473</f>
        <v>702.24000000000012</v>
      </c>
      <c r="L473" s="27">
        <f t="shared" ref="L473" si="320">(H473+J473)</f>
        <v>1012.0000000000001</v>
      </c>
      <c r="M473" s="81">
        <f t="shared" ref="M473" si="321">L473*F473</f>
        <v>1062.6000000000001</v>
      </c>
      <c r="N473" s="82"/>
      <c r="O473" s="3"/>
      <c r="P473" s="3"/>
      <c r="S473" s="35"/>
    </row>
    <row r="474" spans="1:19" s="4" customFormat="1" ht="15.75" customHeight="1">
      <c r="A474" s="78" t="s">
        <v>38</v>
      </c>
      <c r="B474" s="78" t="s">
        <v>39</v>
      </c>
      <c r="C474" s="100" t="s">
        <v>261</v>
      </c>
      <c r="D474" s="104">
        <v>1</v>
      </c>
      <c r="E474" s="26">
        <v>0.05</v>
      </c>
      <c r="F474" s="79">
        <f t="shared" ref="F474" si="322">D474*(1+E474)</f>
        <v>1.05</v>
      </c>
      <c r="G474" s="90" t="s">
        <v>41</v>
      </c>
      <c r="H474" s="80">
        <f>78*4*1.3</f>
        <v>405.6</v>
      </c>
      <c r="I474" s="80">
        <f t="shared" si="318"/>
        <v>425.88000000000005</v>
      </c>
      <c r="J474" s="80">
        <f>152*4*1.3</f>
        <v>790.4</v>
      </c>
      <c r="K474" s="80">
        <f t="shared" ref="K474" si="323">J474*F474</f>
        <v>829.92</v>
      </c>
      <c r="L474" s="27">
        <f t="shared" ref="L474" si="324">(H474+J474)</f>
        <v>1196</v>
      </c>
      <c r="M474" s="81">
        <f t="shared" ref="M474" si="325">L474*F474</f>
        <v>1255.8</v>
      </c>
      <c r="N474" s="82"/>
      <c r="O474" s="3"/>
      <c r="P474" s="3"/>
      <c r="S474" s="35"/>
    </row>
    <row r="475" spans="1:19" s="4" customFormat="1" ht="15.75" customHeight="1">
      <c r="A475" s="78" t="s">
        <v>38</v>
      </c>
      <c r="B475" s="78" t="s">
        <v>39</v>
      </c>
      <c r="C475" s="100" t="s">
        <v>262</v>
      </c>
      <c r="D475" s="104">
        <v>1</v>
      </c>
      <c r="E475" s="26">
        <v>0.05</v>
      </c>
      <c r="F475" s="79">
        <f t="shared" ref="F475" si="326">D475*(1+E475)</f>
        <v>1.05</v>
      </c>
      <c r="G475" s="90" t="s">
        <v>41</v>
      </c>
      <c r="H475" s="80">
        <f>78*4*1.3</f>
        <v>405.6</v>
      </c>
      <c r="I475" s="80">
        <f t="shared" si="318"/>
        <v>425.88000000000005</v>
      </c>
      <c r="J475" s="80">
        <f>152*4*1.3</f>
        <v>790.4</v>
      </c>
      <c r="K475" s="80">
        <f t="shared" ref="K475" si="327">J475*F475</f>
        <v>829.92</v>
      </c>
      <c r="L475" s="27">
        <f t="shared" ref="L475" si="328">(H475+J475)</f>
        <v>1196</v>
      </c>
      <c r="M475" s="81">
        <f t="shared" ref="M475" si="329">L475*F475</f>
        <v>1255.8</v>
      </c>
      <c r="N475" s="82"/>
      <c r="O475" s="3"/>
      <c r="P475" s="3"/>
      <c r="S475" s="35"/>
    </row>
    <row r="476" spans="1:19" s="4" customFormat="1" ht="15.75" customHeight="1">
      <c r="A476" s="78" t="s">
        <v>38</v>
      </c>
      <c r="B476" s="78" t="s">
        <v>39</v>
      </c>
      <c r="C476" s="100" t="s">
        <v>263</v>
      </c>
      <c r="D476" s="104">
        <v>1</v>
      </c>
      <c r="E476" s="26">
        <v>0.05</v>
      </c>
      <c r="F476" s="79">
        <f t="shared" ref="F476" si="330">D476*(1+E476)</f>
        <v>1.05</v>
      </c>
      <c r="G476" s="90" t="s">
        <v>41</v>
      </c>
      <c r="H476" s="80">
        <f>78*4.83</f>
        <v>376.74</v>
      </c>
      <c r="I476" s="80">
        <f t="shared" si="318"/>
        <v>395.577</v>
      </c>
      <c r="J476" s="80">
        <f>152*4.83</f>
        <v>734.16</v>
      </c>
      <c r="K476" s="80">
        <f t="shared" ref="K476" si="331">J476*F476</f>
        <v>770.86800000000005</v>
      </c>
      <c r="L476" s="27">
        <f t="shared" ref="L476" si="332">(H476+J476)</f>
        <v>1110.9000000000001</v>
      </c>
      <c r="M476" s="81">
        <f t="shared" ref="M476" si="333">L476*F476</f>
        <v>1166.4450000000002</v>
      </c>
      <c r="N476" s="82"/>
      <c r="O476" s="3"/>
      <c r="P476" s="3"/>
      <c r="S476" s="35"/>
    </row>
    <row r="477" spans="1:19" s="4" customFormat="1">
      <c r="A477" s="78"/>
      <c r="B477" s="78"/>
      <c r="C477" s="88"/>
      <c r="D477" s="89"/>
      <c r="E477" s="26"/>
      <c r="F477" s="79"/>
      <c r="G477" s="90"/>
      <c r="H477" s="80"/>
      <c r="I477" s="65"/>
      <c r="J477" s="65"/>
      <c r="K477" s="65"/>
      <c r="L477" s="72"/>
      <c r="M477" s="66"/>
      <c r="N477" s="22"/>
      <c r="O477" s="3"/>
      <c r="P477" s="3"/>
      <c r="S477" s="35"/>
    </row>
    <row r="478" spans="1:19">
      <c r="A478" s="37"/>
      <c r="B478" s="37"/>
      <c r="C478" s="37"/>
      <c r="D478" s="96"/>
      <c r="E478" s="26"/>
      <c r="F478" s="24"/>
      <c r="G478" s="77"/>
      <c r="H478" s="38"/>
      <c r="I478" s="38"/>
      <c r="J478" s="38"/>
      <c r="K478" s="38"/>
      <c r="L478" s="27"/>
      <c r="M478" s="21"/>
      <c r="N478" s="22"/>
      <c r="S478" s="36"/>
    </row>
    <row r="479" spans="1:19" ht="16.5" thickBot="1">
      <c r="A479" s="45"/>
      <c r="B479" s="45"/>
      <c r="C479" s="45"/>
      <c r="D479" s="97"/>
      <c r="E479" s="46"/>
      <c r="F479" s="46"/>
      <c r="G479" s="47"/>
      <c r="H479" s="47"/>
      <c r="I479" s="47"/>
      <c r="J479" s="47"/>
      <c r="K479" s="47"/>
      <c r="L479" s="73"/>
      <c r="M479" s="48">
        <f>SUM(M10:M478)</f>
        <v>885850.3687262676</v>
      </c>
      <c r="N479" s="116">
        <f>SUM(N10:N478)</f>
        <v>885850.36872626725</v>
      </c>
    </row>
    <row r="480" spans="1:19" ht="17.25" thickTop="1" thickBot="1">
      <c r="A480" s="45"/>
      <c r="B480" s="45"/>
      <c r="C480" s="45"/>
      <c r="D480" s="97"/>
      <c r="E480" s="46"/>
      <c r="F480" s="46"/>
      <c r="G480" s="47"/>
      <c r="H480" s="47"/>
      <c r="I480" s="47"/>
      <c r="J480" s="47"/>
      <c r="K480" s="47"/>
      <c r="L480" s="105">
        <v>0.05</v>
      </c>
      <c r="M480" s="49">
        <f>M479*L480</f>
        <v>44292.518436313381</v>
      </c>
      <c r="N480" s="50">
        <f>N479*L480</f>
        <v>44292.518436313367</v>
      </c>
    </row>
    <row r="481" spans="1:14" ht="17.25" thickTop="1" thickBot="1">
      <c r="A481" s="45"/>
      <c r="B481" s="45"/>
      <c r="C481" s="45"/>
      <c r="D481" s="97"/>
      <c r="E481" s="46"/>
      <c r="F481" s="46"/>
      <c r="G481" s="47"/>
      <c r="H481" s="47"/>
      <c r="I481" s="47"/>
      <c r="J481" s="47"/>
      <c r="K481" s="47"/>
      <c r="L481" s="76">
        <v>0.2</v>
      </c>
      <c r="M481" s="49">
        <f>M479*L481</f>
        <v>177170.07374525352</v>
      </c>
      <c r="N481" s="50">
        <f>N479*L481</f>
        <v>177170.07374525347</v>
      </c>
    </row>
    <row r="482" spans="1:14" ht="16.5" thickTop="1">
      <c r="A482" s="51"/>
      <c r="B482" s="51"/>
      <c r="C482" s="51"/>
      <c r="D482" s="98"/>
      <c r="E482" s="52"/>
      <c r="F482" s="52"/>
      <c r="G482" s="53"/>
      <c r="H482" s="53"/>
      <c r="I482" s="53"/>
      <c r="J482" s="53"/>
      <c r="K482" s="53"/>
      <c r="L482" s="74"/>
      <c r="M482" s="54">
        <f>SUM(M479:M481)</f>
        <v>1107312.9609078346</v>
      </c>
      <c r="N482" s="55">
        <f>SUM(N479:N481)</f>
        <v>1107312.9609078341</v>
      </c>
    </row>
  </sheetData>
  <autoFilter ref="C1:L482" xr:uid="{00000000-0009-0000-0000-000000000000}"/>
  <sortState xmlns:xlrd2="http://schemas.microsoft.com/office/spreadsheetml/2017/richdata2" ref="A183:H186">
    <sortCondition ref="A183"/>
  </sortState>
  <printOptions horizontalCentered="1"/>
  <pageMargins left="0.43307086614173201" right="0.43307086614173201" top="0.39370078740157499" bottom="0.39370078740157499" header="0.196850393700787" footer="0.196850393700787"/>
  <pageSetup paperSize="9" scale="38" fitToHeight="0"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2013-07-08T09:36:48Z</dcterms:created>
  <dcterms:modified xsi:type="dcterms:W3CDTF">2022-06-03T19:26:12Z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